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0055" windowHeight="7935" firstSheet="44" activeTab="46"/>
  </bookViews>
  <sheets>
    <sheet name="Лист1" sheetId="1" r:id="rId1"/>
    <sheet name="Лист2" sheetId="2" r:id="rId2"/>
    <sheet name="Лист3" sheetId="3" r:id="rId3"/>
    <sheet name="Беляева 39" sheetId="4" r:id="rId4"/>
    <sheet name="Беляева 40" sheetId="5" r:id="rId5"/>
    <sheet name="Беляева 41" sheetId="6" r:id="rId6"/>
    <sheet name="Беляева 43" sheetId="7" r:id="rId7"/>
    <sheet name="Беляева 46" sheetId="8" r:id="rId8"/>
    <sheet name="Беляева 47" sheetId="9" r:id="rId9"/>
    <sheet name="Беляева 48" sheetId="10" r:id="rId10"/>
    <sheet name="Беляева 49" sheetId="11" r:id="rId11"/>
    <sheet name="Беляева 49А" sheetId="12" r:id="rId12"/>
    <sheet name="новогор 2013" sheetId="13" r:id="rId13"/>
    <sheet name="тепло 2013" sheetId="14" r:id="rId14"/>
    <sheet name="Беляева 51" sheetId="15" r:id="rId15"/>
    <sheet name="Беляева 51А" sheetId="16" r:id="rId16"/>
    <sheet name="Беляева 52" sheetId="17" r:id="rId17"/>
    <sheet name="Беляева 54" sheetId="18" r:id="rId18"/>
    <sheet name="Беляева 59" sheetId="19" r:id="rId19"/>
    <sheet name="Беляева 61" sheetId="20" r:id="rId20"/>
    <sheet name="Власова,15" sheetId="21" r:id="rId21"/>
    <sheet name="Лист" sheetId="22" r:id="rId22"/>
    <sheet name="Власова,19" sheetId="23" r:id="rId23"/>
    <sheet name="Власова,21" sheetId="24" r:id="rId24"/>
    <sheet name="Власова,23" sheetId="25" r:id="rId25"/>
    <sheet name="Власова,25" sheetId="26" r:id="rId26"/>
    <sheet name="Власова,27" sheetId="27" r:id="rId27"/>
    <sheet name="Власова,29" sheetId="28" r:id="rId28"/>
    <sheet name="Власова,31" sheetId="29" r:id="rId29"/>
    <sheet name="Власова,35" sheetId="30" r:id="rId30"/>
    <sheet name="Геологов,4" sheetId="31" r:id="rId31"/>
    <sheet name="Геологов,8" sheetId="32" r:id="rId32"/>
    <sheet name="Леонова,36" sheetId="33" r:id="rId33"/>
    <sheet name="Леонова,38" sheetId="34" r:id="rId34"/>
    <sheet name="Леонова,40" sheetId="35" r:id="rId35"/>
    <sheet name="Леонова,42" sheetId="36" r:id="rId36"/>
    <sheet name="Леонова,44" sheetId="37" r:id="rId37"/>
    <sheet name="Леонова,46" sheetId="38" r:id="rId38"/>
    <sheet name="Леонова,48" sheetId="39" r:id="rId39"/>
    <sheet name="Леонова,48А" sheetId="40" r:id="rId40"/>
    <sheet name="Леонова,52" sheetId="41" r:id="rId41"/>
    <sheet name="Леонова,56" sheetId="42" r:id="rId42"/>
    <sheet name="Нефтяников,53" sheetId="43" r:id="rId43"/>
    <sheet name="Нефтяников,55" sheetId="44" r:id="rId44"/>
    <sheet name="Нефтяников,57" sheetId="45" r:id="rId45"/>
    <sheet name="Нефтяников,59" sheetId="46" r:id="rId46"/>
    <sheet name="Экскаваторная,58" sheetId="47" r:id="rId47"/>
    <sheet name="Экскаваторная,60" sheetId="48" r:id="rId48"/>
    <sheet name="Экскаваторная,62" sheetId="49" r:id="rId49"/>
  </sheets>
  <externalReferences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/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G57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G57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  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G57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G57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G61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G61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G59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G57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G57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G59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user</author>
  </authors>
  <commentList>
    <comment ref="G60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Билайн: 46392,93/38 домов = 1220,87
МТС: 400 руб за 1 дом
Эр-телеком: 700 руб. за 1 дом
Лифтборд: 117601,26/49 лифтов = 2400 за 1лифт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56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Билайн: 46392,93/38 домов = 1220,87
МТС: 400 руб за 1 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</text>
    </comment>
  </commentList>
</comments>
</file>

<file path=xl/comments47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56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  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G56" authorId="0">
      <text>
        <r>
          <rPr>
            <b/>
            <sz val="9"/>
            <rFont val="Tahoma"/>
            <family val="2"/>
          </rPr>
          <t xml:space="preserve">Вымпелком: 61857,24/38 домов = 1627,82
МТС: 400 руб за 1 дом
Эр-телеком: 700 руб. за 1 дом
Лифтборд: 88200,96/49 лифтов = 1800 за 1лифт
Ростелеком=87000/44 = 1977,27  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G57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G58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G57" authorId="0">
      <text>
        <r>
          <rPr>
            <b/>
            <sz val="9"/>
            <rFont val="Tahoma"/>
            <family val="2"/>
          </rPr>
          <t>Вымпелком: 61857,24/38 домов = 1627,82
МТС: 400 руб за 1 дом
Эр-телеком: 700 руб. за 1 дом
Лифтборд: 88200,96/49 лифтов = 1800 за 1лифт
Ростелеком=87000/44 = 1977,27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<sst xmlns="http://schemas.openxmlformats.org/spreadsheetml/2006/main" count="3512" uniqueCount="166">
  <si>
    <t>Отчет о выполнении договора управления многоквартирным домом по адресу:</t>
  </si>
  <si>
    <t>г. Пермь, ул. Беляева , дом №39</t>
  </si>
  <si>
    <t>с 01 января 2013 г. по 31 декабря 2013 г. (за 12 месяцев)</t>
  </si>
  <si>
    <t>1.Содержание жилья</t>
  </si>
  <si>
    <t>Наименование статьи</t>
  </si>
  <si>
    <t>Начислено платы, в т.ч. расходы по управлению (18%)</t>
  </si>
  <si>
    <t>Фактическая оплата с учетом долгов прошлых периодов (жителей)</t>
  </si>
  <si>
    <t>Отклонения по оплате собственниками (-) - задолженность собственников; (+) - переплата собственниками</t>
  </si>
  <si>
    <t>Фактические затраты              (ООО УК «Дом Мастер»)</t>
  </si>
  <si>
    <t>∆                                   (-) - превышение расходов по статье;                               (+) - неизрасходованная сумма</t>
  </si>
  <si>
    <t>4 =3-2</t>
  </si>
  <si>
    <t>6=2-5</t>
  </si>
  <si>
    <t>Техническое обслуживание</t>
  </si>
  <si>
    <t>1.Визуальные осмотры технического  состояния общего имущества.</t>
  </si>
  <si>
    <t>2.Регулировка и наладка, гидравлические испытания инженерного оборудования.</t>
  </si>
  <si>
    <t>3.Подготовка к сезонной эксплуатации жилищного фонда.</t>
  </si>
  <si>
    <t>Итого:</t>
  </si>
  <si>
    <t>Благоустройство и обеспечение санитарного состояния</t>
  </si>
  <si>
    <t>Содержание и обслуживание придомовой территории</t>
  </si>
  <si>
    <t>Дератизация и дезинсекция</t>
  </si>
  <si>
    <t>Очистка вентиляционных шахт</t>
  </si>
  <si>
    <t>Вывоз твердых бытовых отходов</t>
  </si>
  <si>
    <t>Содержание  и ремонт газового оборудования</t>
  </si>
  <si>
    <t xml:space="preserve">                      Всего:</t>
  </si>
  <si>
    <t>2.Текущий ремонт</t>
  </si>
  <si>
    <t>Фактическая оплата с учетом долгов прошлых периодов</t>
  </si>
  <si>
    <t>Выполнено работ на сумму</t>
  </si>
  <si>
    <t>Текущий ремонт конструктивных элементов и инженерного оборудования</t>
  </si>
  <si>
    <t>Итого</t>
  </si>
  <si>
    <t>3. Коммунальные услуги</t>
  </si>
  <si>
    <t>Начислено платы за коммунальные услуги</t>
  </si>
  <si>
    <t>Фактическая оплата собственниками и сумма, сторнированная по договору цессии</t>
  </si>
  <si>
    <t>Предъявлено ресурсоснабжающими организациями жителям</t>
  </si>
  <si>
    <t>Водопотребление (водоснабжение и водоотведение)</t>
  </si>
  <si>
    <t>Теплопотребление (отопление и горячее водоснабжение)</t>
  </si>
  <si>
    <t xml:space="preserve">                    Итого:</t>
  </si>
  <si>
    <t xml:space="preserve">1. Задолженность жителей, образованная в 2013 г. перед ООО УК «Дом Мастер» составляет, руб.: </t>
  </si>
  <si>
    <t>в том числе</t>
  </si>
  <si>
    <t>1. задолженность жителей по содержанию и текущему ремонту общего имущества</t>
  </si>
  <si>
    <t>2. задолженность жителей по коммунальным услугам</t>
  </si>
  <si>
    <t>2. Превышение расходов управляющей компании над поступлением ден. средств, руб.:</t>
  </si>
  <si>
    <t>1. по содержанию и текущему ремонту общего имущества</t>
  </si>
  <si>
    <t>2. по коммунальным услугам</t>
  </si>
  <si>
    <t xml:space="preserve">3. Неизрасходованная сумма за12 месяцев составляет, руб.      </t>
  </si>
  <si>
    <t>4. Прочие услуги</t>
  </si>
  <si>
    <t>Реклама в лифтах, плата за установленное на домах оборудование</t>
  </si>
  <si>
    <t xml:space="preserve">Результат по итогам 12 месяцев 2013 года составил: </t>
  </si>
  <si>
    <t xml:space="preserve"> руб.</t>
  </si>
  <si>
    <t>(-) -  перерасход денежных средств</t>
  </si>
  <si>
    <t>(+) - неизрасходованная сумма</t>
  </si>
  <si>
    <t xml:space="preserve">Общая задолженость/переплата жителей на 10.01.2014: </t>
  </si>
  <si>
    <t xml:space="preserve">(-) -  задолженность </t>
  </si>
  <si>
    <t>(+) - переплата</t>
  </si>
  <si>
    <t>Результат за 2013 год с учётом задолженности:</t>
  </si>
  <si>
    <t>Директор                                                                            Базанов А.А.</t>
  </si>
  <si>
    <t>г. Пермь, ул. Беляева , дом №40</t>
  </si>
  <si>
    <t>Содержание и ремонт лифтов</t>
  </si>
  <si>
    <t>Обслуживание мусоропровода</t>
  </si>
  <si>
    <t>1. задолженность/переплата жителей по содержанию и текущему ремонту общего имущества</t>
  </si>
  <si>
    <t>2. задолженность/переплата жителей по коммунальным услугам</t>
  </si>
  <si>
    <t xml:space="preserve">3. Неизрасходованная сумма за 12 месяцев составляет, руб.      </t>
  </si>
  <si>
    <t xml:space="preserve">Результат по итогам 12 месяцев 2013  года составил: </t>
  </si>
  <si>
    <t xml:space="preserve">Общая задолженость/переплата жителей на 01.01.2014: </t>
  </si>
  <si>
    <t>Результат за 2103 год с учётом задолженности:</t>
  </si>
  <si>
    <t>г. Пермь, ул. Беляева , дом №41</t>
  </si>
  <si>
    <t>1. задолженность/переплата жителей по содержанию и ремонту общего имущества</t>
  </si>
  <si>
    <t xml:space="preserve">3. Неизрасходованная сумма 12 месяцев составляет, руб.      </t>
  </si>
  <si>
    <t>г. Пермь, ул. Беляева , дом №43</t>
  </si>
  <si>
    <t>Уборка мест общего пользования</t>
  </si>
  <si>
    <t xml:space="preserve">1. Задолженность/переплата жителей многоквартирного дома перед ООО УК «Дом Мастер» составляет, руб.: </t>
  </si>
  <si>
    <t xml:space="preserve">Общая задолженость/переплата жителей на 01.01.2013: </t>
  </si>
  <si>
    <t>г. Пермь, ул. Беляева , дом №46</t>
  </si>
  <si>
    <t>2.Текущий ремонт*</t>
  </si>
  <si>
    <t>*Водопотребление (водоснабжение и водоотведение)</t>
  </si>
  <si>
    <t>(-) -  задолженность</t>
  </si>
  <si>
    <t>г. Пермь, ул. Беляева , дом №47</t>
  </si>
  <si>
    <t>с 01 января 2012 г. по 31 декабря 2013 г. (за 12 месяцев)</t>
  </si>
  <si>
    <t>Фактическая оплата собственниками</t>
  </si>
  <si>
    <t>г. Пермь, ул. Беляева , дом №48</t>
  </si>
  <si>
    <t xml:space="preserve">1.Задолженность жителей, образованная в 2013 г. перед ООО УК «Дом Мастер» составляет, руб.: </t>
  </si>
  <si>
    <t>г. Пермь, ул. Беляева , дом №49</t>
  </si>
  <si>
    <t>г. Пермь, ул. Беляева , дом №49А</t>
  </si>
  <si>
    <t>маленькая сумма</t>
  </si>
  <si>
    <t>Беляева, 49А</t>
  </si>
  <si>
    <t>Месяц 2013</t>
  </si>
  <si>
    <t>Водоснабжение</t>
  </si>
  <si>
    <t>Водоотведение</t>
  </si>
  <si>
    <t>Сумма за водоснабжение и водоотведение, руб.</t>
  </si>
  <si>
    <t>Объём ХВ, м3</t>
  </si>
  <si>
    <t>Объём ХВ на ОДН, м3</t>
  </si>
  <si>
    <t>Всего, м3</t>
  </si>
  <si>
    <t>Тариф, руб./м3</t>
  </si>
  <si>
    <t>Сумма за водоснабжение, руб.</t>
  </si>
  <si>
    <t>Объём ГВ, м3</t>
  </si>
  <si>
    <t>Объём на ОДН, м3</t>
  </si>
  <si>
    <t>Сумма за водоотведение, руб.</t>
  </si>
  <si>
    <t>4=2+3</t>
  </si>
  <si>
    <t>6=4*5</t>
  </si>
  <si>
    <t>10=7+8+9</t>
  </si>
  <si>
    <t>12=10*11</t>
  </si>
  <si>
    <t>13=6+12</t>
  </si>
  <si>
    <t>ИТОГО:</t>
  </si>
  <si>
    <t>отопление</t>
  </si>
  <si>
    <t>гвс</t>
  </si>
  <si>
    <t>Сумма за отопление и гвс, руб.</t>
  </si>
  <si>
    <t>Объём на отопление, Гкал</t>
  </si>
  <si>
    <t>потери, Гкал</t>
  </si>
  <si>
    <t>Всего, Гкал</t>
  </si>
  <si>
    <t>Тариф, руб./Гкал</t>
  </si>
  <si>
    <t>Сумма, руб.</t>
  </si>
  <si>
    <t>Сумма , руб.</t>
  </si>
  <si>
    <t>9=7+8</t>
  </si>
  <si>
    <t>11=9*10</t>
  </si>
  <si>
    <t>12=6+11</t>
  </si>
  <si>
    <t>компонент вода</t>
  </si>
  <si>
    <t>компонент тепловая энергия</t>
  </si>
  <si>
    <t>Объём, Гкал</t>
  </si>
  <si>
    <t>Объём на ОДН, Гкал</t>
  </si>
  <si>
    <t>14=12+13</t>
  </si>
  <si>
    <t>16=14*15</t>
  </si>
  <si>
    <t>17=6+11+16</t>
  </si>
  <si>
    <t>руб.</t>
  </si>
  <si>
    <t>2013 год</t>
  </si>
  <si>
    <t>всего</t>
  </si>
  <si>
    <t>г. Пермь, ул. Беляева , дом №51</t>
  </si>
  <si>
    <t xml:space="preserve">Результат по итогам 12 месяцев 2013года составил: </t>
  </si>
  <si>
    <t>г. Пермь, ул. Беляева , дом №51А</t>
  </si>
  <si>
    <t>г. Пермь, ул. Беляева , дом №52</t>
  </si>
  <si>
    <t>г. Пермь, ул. Беляева , дом №54</t>
  </si>
  <si>
    <t>г. Пермь, ул. Беляева , дом №59</t>
  </si>
  <si>
    <t>Электроэнергия</t>
  </si>
  <si>
    <t>г. Пермь, ул. Беляева , дом №61</t>
  </si>
  <si>
    <t>г. Пермь, ул. Власова , дом № 15</t>
  </si>
  <si>
    <t xml:space="preserve">1.  Задолженность жителей, образованная в 2013 г. перед ООО УК «Дом Мастер» составляет, руб.: </t>
  </si>
  <si>
    <t>2. Превышение расходов управляющей компании над начислением ден. средств, руб.:</t>
  </si>
  <si>
    <t>г. Пермь, ул. Милиционера Власова , дом № 17</t>
  </si>
  <si>
    <t>г. Пермь, ул. Власова , дом № 19</t>
  </si>
  <si>
    <t>г. Пермь, ул. Власова , дом № 21</t>
  </si>
  <si>
    <t>г. Пермь, ул. Власова , дом № 23</t>
  </si>
  <si>
    <t>г. Пермь, ул. Власова , дом № 25</t>
  </si>
  <si>
    <t>г. Пермь, ул. Власова , дом № 27</t>
  </si>
  <si>
    <t>г. Пермь, ул. Власова , дом № 29</t>
  </si>
  <si>
    <t>г. Пермь, ул. Власова , дом № 31</t>
  </si>
  <si>
    <t>г. Пермь, ул. Власова , дом № 35</t>
  </si>
  <si>
    <t>г. Пермь, ул. Геологов , дом № 4</t>
  </si>
  <si>
    <t>Обслуживание бытовых электроплит</t>
  </si>
  <si>
    <t>г. Пермь, ул. Геологов , дом № 8</t>
  </si>
  <si>
    <t xml:space="preserve">Теплопотребление </t>
  </si>
  <si>
    <t>г. Пермь, ул. Леонова , дом № 36</t>
  </si>
  <si>
    <t>г. Пермь, ул. Леонова , дом № 38</t>
  </si>
  <si>
    <t>г. Пермь, ул. Леонова , дом № 40</t>
  </si>
  <si>
    <t>Директор                                                                            Базанова Н.Р.</t>
  </si>
  <si>
    <t>г. Пермь, ул. Леонова , дом № 42</t>
  </si>
  <si>
    <t>г. Пермь, ул. Леонова , дом № 44</t>
  </si>
  <si>
    <t>г. Пермь, ул. Леонова , дом № 46</t>
  </si>
  <si>
    <t>г. Пермь, ул. Леонова , дом № 48</t>
  </si>
  <si>
    <t>г. Пермь, ул. Леонова , дом № 48А</t>
  </si>
  <si>
    <t>г. Пермь, ул. Леонова , дом № 52</t>
  </si>
  <si>
    <t>г. Пермь, ул. Леонова , дом № 56</t>
  </si>
  <si>
    <t>г. Пермь, ул. Нефтяников , дом № 53</t>
  </si>
  <si>
    <t>г. Пермь, ул. Нефтяников , дом № 55</t>
  </si>
  <si>
    <t>г. Пермь, ул. Нефтяников , дом № 57</t>
  </si>
  <si>
    <t>г. Пермь, ул. Нефтяников , дом № 59</t>
  </si>
  <si>
    <t>г. Пермь, ул. Экскаваторная , дом № 58</t>
  </si>
  <si>
    <t>г. Пермь, ул. Экскаваторная , дом № 60</t>
  </si>
  <si>
    <t>г. Пермь, ул. Экскаваторная , дом № 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</si>
</sst>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2" applyFill="1">
      <alignment/>
      <protection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18" fillId="0" borderId="0" xfId="52">
      <alignment/>
      <protection/>
    </xf>
    <xf numFmtId="0" fontId="18" fillId="0" borderId="0" xfId="52" applyFill="1" applyAlignment="1">
      <alignment horizontal="left"/>
      <protection/>
    </xf>
    <xf numFmtId="0" fontId="21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18" fillId="0" borderId="0" xfId="52" applyFont="1">
      <alignment/>
      <protection/>
    </xf>
    <xf numFmtId="0" fontId="25" fillId="0" borderId="10" xfId="52" applyFont="1" applyBorder="1" applyAlignment="1">
      <alignment vertical="top" wrapText="1"/>
      <protection/>
    </xf>
    <xf numFmtId="0" fontId="25" fillId="0" borderId="11" xfId="52" applyFont="1" applyBorder="1" applyAlignment="1">
      <alignment vertical="top" wrapText="1"/>
      <protection/>
    </xf>
    <xf numFmtId="0" fontId="26" fillId="0" borderId="12" xfId="52" applyFont="1" applyBorder="1" applyAlignment="1">
      <alignment horizontal="center" vertical="top" wrapText="1"/>
      <protection/>
    </xf>
    <xf numFmtId="0" fontId="26" fillId="0" borderId="13" xfId="52" applyFont="1" applyBorder="1" applyAlignment="1">
      <alignment horizontal="center" vertical="top" wrapText="1"/>
      <protection/>
    </xf>
    <xf numFmtId="0" fontId="26" fillId="0" borderId="14" xfId="52" applyFont="1" applyBorder="1" applyAlignment="1">
      <alignment horizontal="center" vertical="top" wrapText="1"/>
      <protection/>
    </xf>
    <xf numFmtId="0" fontId="25" fillId="0" borderId="15" xfId="52" applyFont="1" applyBorder="1" applyAlignment="1">
      <alignment horizontal="center" vertical="top" wrapText="1"/>
      <protection/>
    </xf>
    <xf numFmtId="0" fontId="25" fillId="0" borderId="16" xfId="52" applyFont="1" applyBorder="1" applyAlignment="1">
      <alignment horizontal="center" vertical="top" wrapText="1"/>
      <protection/>
    </xf>
    <xf numFmtId="0" fontId="18" fillId="0" borderId="17" xfId="52" applyBorder="1" applyAlignment="1">
      <alignment/>
      <protection/>
    </xf>
    <xf numFmtId="0" fontId="26" fillId="0" borderId="18" xfId="52" applyFont="1" applyBorder="1" applyAlignment="1">
      <alignment vertical="top" wrapText="1"/>
      <protection/>
    </xf>
    <xf numFmtId="4" fontId="26" fillId="0" borderId="10" xfId="52" applyNumberFormat="1" applyFont="1" applyBorder="1" applyAlignment="1">
      <alignment horizontal="center" vertical="center" wrapText="1"/>
      <protection/>
    </xf>
    <xf numFmtId="4" fontId="18" fillId="0" borderId="0" xfId="52" applyNumberFormat="1" applyFont="1">
      <alignment/>
      <protection/>
    </xf>
    <xf numFmtId="4" fontId="26" fillId="0" borderId="18" xfId="52" applyNumberFormat="1" applyFont="1" applyBorder="1" applyAlignment="1">
      <alignment horizontal="center" vertical="center" wrapText="1"/>
      <protection/>
    </xf>
    <xf numFmtId="0" fontId="26" fillId="0" borderId="19" xfId="52" applyFont="1" applyBorder="1" applyAlignment="1">
      <alignment vertical="top" wrapText="1"/>
      <protection/>
    </xf>
    <xf numFmtId="4" fontId="26" fillId="0" borderId="19" xfId="52" applyNumberFormat="1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top" wrapText="1"/>
      <protection/>
    </xf>
    <xf numFmtId="4" fontId="25" fillId="0" borderId="17" xfId="52" applyNumberFormat="1" applyFont="1" applyBorder="1" applyAlignment="1">
      <alignment horizontal="center" vertical="top" wrapText="1"/>
      <protection/>
    </xf>
    <xf numFmtId="0" fontId="25" fillId="0" borderId="20" xfId="52" applyFont="1" applyBorder="1" applyAlignment="1">
      <alignment horizontal="center" vertical="top" wrapText="1"/>
      <protection/>
    </xf>
    <xf numFmtId="0" fontId="25" fillId="0" borderId="21" xfId="52" applyFont="1" applyBorder="1" applyAlignment="1">
      <alignment horizontal="center" vertical="top" wrapText="1"/>
      <protection/>
    </xf>
    <xf numFmtId="0" fontId="18" fillId="0" borderId="22" xfId="52" applyBorder="1" applyAlignment="1">
      <alignment/>
      <protection/>
    </xf>
    <xf numFmtId="4" fontId="26" fillId="0" borderId="17" xfId="52" applyNumberFormat="1" applyFont="1" applyBorder="1" applyAlignment="1">
      <alignment horizontal="center" vertical="top" wrapText="1"/>
      <protection/>
    </xf>
    <xf numFmtId="0" fontId="25" fillId="0" borderId="19" xfId="52" applyFont="1" applyBorder="1" applyAlignment="1">
      <alignment vertical="top" wrapText="1"/>
      <protection/>
    </xf>
    <xf numFmtId="0" fontId="26" fillId="0" borderId="0" xfId="52" applyFont="1">
      <alignment/>
      <protection/>
    </xf>
    <xf numFmtId="0" fontId="25" fillId="0" borderId="23" xfId="52" applyFont="1" applyBorder="1" applyAlignment="1">
      <alignment vertical="top" wrapText="1"/>
      <protection/>
    </xf>
    <xf numFmtId="0" fontId="25" fillId="0" borderId="22" xfId="52" applyFont="1" applyBorder="1" applyAlignment="1">
      <alignment vertical="top" wrapText="1"/>
      <protection/>
    </xf>
    <xf numFmtId="4" fontId="26" fillId="0" borderId="17" xfId="52" applyNumberFormat="1" applyFont="1" applyBorder="1" applyAlignment="1">
      <alignment horizontal="center" vertical="center" wrapText="1"/>
      <protection/>
    </xf>
    <xf numFmtId="4" fontId="25" fillId="0" borderId="17" xfId="52" applyNumberFormat="1" applyFont="1" applyBorder="1" applyAlignment="1">
      <alignment horizontal="center" vertical="center" wrapText="1"/>
      <protection/>
    </xf>
    <xf numFmtId="0" fontId="25" fillId="0" borderId="0" xfId="52" applyFont="1">
      <alignment/>
      <protection/>
    </xf>
    <xf numFmtId="0" fontId="25" fillId="0" borderId="11" xfId="52" applyFont="1" applyBorder="1" applyAlignment="1">
      <alignment horizontal="justify" vertical="top" wrapText="1"/>
      <protection/>
    </xf>
    <xf numFmtId="0" fontId="26" fillId="0" borderId="10" xfId="52" applyFont="1" applyBorder="1" applyAlignment="1">
      <alignment vertical="top" wrapText="1"/>
      <protection/>
    </xf>
    <xf numFmtId="0" fontId="18" fillId="0" borderId="19" xfId="52" applyBorder="1" applyAlignment="1">
      <alignment vertical="top" wrapText="1"/>
      <protection/>
    </xf>
    <xf numFmtId="0" fontId="18" fillId="0" borderId="19" xfId="52" applyBorder="1" applyAlignment="1">
      <alignment horizontal="center" vertical="center"/>
      <protection/>
    </xf>
    <xf numFmtId="0" fontId="25" fillId="0" borderId="0" xfId="52" applyFont="1" applyAlignment="1">
      <alignment horizontal="left"/>
      <protection/>
    </xf>
    <xf numFmtId="4" fontId="24" fillId="33" borderId="0" xfId="52" applyNumberFormat="1" applyFont="1" applyFill="1" applyAlignment="1">
      <alignment horizontal="center"/>
      <protection/>
    </xf>
    <xf numFmtId="4" fontId="25" fillId="0" borderId="0" xfId="52" applyNumberFormat="1" applyFont="1" applyFill="1">
      <alignment/>
      <protection/>
    </xf>
    <xf numFmtId="0" fontId="26" fillId="0" borderId="0" xfId="52" applyFont="1" applyAlignment="1">
      <alignment/>
      <protection/>
    </xf>
    <xf numFmtId="4" fontId="26" fillId="0" borderId="0" xfId="52" applyNumberFormat="1" applyFont="1">
      <alignment/>
      <protection/>
    </xf>
    <xf numFmtId="0" fontId="25" fillId="0" borderId="0" xfId="52" applyFont="1" applyFill="1" applyAlignment="1">
      <alignment/>
      <protection/>
    </xf>
    <xf numFmtId="0" fontId="18" fillId="0" borderId="0" xfId="52" applyFont="1" applyFill="1">
      <alignment/>
      <protection/>
    </xf>
    <xf numFmtId="4" fontId="18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4" fontId="24" fillId="0" borderId="0" xfId="52" applyNumberFormat="1" applyFont="1" applyFill="1" applyAlignment="1">
      <alignment horizontal="center"/>
      <protection/>
    </xf>
    <xf numFmtId="0" fontId="25" fillId="31" borderId="0" xfId="52" applyFont="1" applyFill="1">
      <alignment/>
      <protection/>
    </xf>
    <xf numFmtId="0" fontId="25" fillId="0" borderId="0" xfId="52" applyFont="1" applyFill="1">
      <alignment/>
      <protection/>
    </xf>
    <xf numFmtId="0" fontId="27" fillId="0" borderId="0" xfId="52" applyFont="1" applyAlignment="1">
      <alignment/>
      <protection/>
    </xf>
    <xf numFmtId="4" fontId="27" fillId="0" borderId="0" xfId="52" applyNumberFormat="1" applyFont="1">
      <alignment/>
      <protection/>
    </xf>
    <xf numFmtId="0" fontId="25" fillId="0" borderId="0" xfId="52" applyFont="1" applyAlignment="1">
      <alignment/>
      <protection/>
    </xf>
    <xf numFmtId="0" fontId="27" fillId="0" borderId="0" xfId="52" applyFont="1">
      <alignment/>
      <protection/>
    </xf>
    <xf numFmtId="0" fontId="26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29" fillId="0" borderId="0" xfId="52" applyFont="1">
      <alignment/>
      <protection/>
    </xf>
    <xf numFmtId="0" fontId="18" fillId="0" borderId="0" xfId="52" applyFont="1">
      <alignment/>
      <protection/>
    </xf>
    <xf numFmtId="4" fontId="18" fillId="0" borderId="0" xfId="52" applyNumberFormat="1" applyFont="1">
      <alignment/>
      <protection/>
    </xf>
    <xf numFmtId="0" fontId="18" fillId="0" borderId="0" xfId="52" applyFont="1" applyFill="1">
      <alignment/>
      <protection/>
    </xf>
    <xf numFmtId="4" fontId="18" fillId="0" borderId="0" xfId="52" applyNumberFormat="1" applyFont="1" applyFill="1">
      <alignment/>
      <protection/>
    </xf>
    <xf numFmtId="4" fontId="32" fillId="0" borderId="10" xfId="52" applyNumberFormat="1" applyFont="1" applyBorder="1" applyAlignment="1">
      <alignment horizontal="center" vertical="center" wrapText="1"/>
      <protection/>
    </xf>
    <xf numFmtId="4" fontId="32" fillId="0" borderId="18" xfId="52" applyNumberFormat="1" applyFont="1" applyBorder="1" applyAlignment="1">
      <alignment horizontal="center" vertical="center" wrapText="1"/>
      <protection/>
    </xf>
    <xf numFmtId="4" fontId="32" fillId="0" borderId="19" xfId="52" applyNumberFormat="1" applyFont="1" applyBorder="1" applyAlignment="1">
      <alignment horizontal="center" vertical="center" wrapText="1"/>
      <protection/>
    </xf>
    <xf numFmtId="4" fontId="18" fillId="0" borderId="0" xfId="52" applyNumberFormat="1">
      <alignment/>
      <protection/>
    </xf>
    <xf numFmtId="4" fontId="54" fillId="33" borderId="0" xfId="52" applyNumberFormat="1" applyFont="1" applyFill="1" applyAlignment="1">
      <alignment horizontal="center"/>
      <protection/>
    </xf>
    <xf numFmtId="0" fontId="18" fillId="0" borderId="19" xfId="52" applyFont="1" applyBorder="1" applyAlignment="1">
      <alignment horizontal="center" vertical="center"/>
      <protection/>
    </xf>
    <xf numFmtId="4" fontId="55" fillId="0" borderId="10" xfId="52" applyNumberFormat="1" applyFont="1" applyBorder="1" applyAlignment="1">
      <alignment horizontal="center" vertical="center" wrapText="1"/>
      <protection/>
    </xf>
    <xf numFmtId="0" fontId="56" fillId="0" borderId="19" xfId="52" applyFont="1" applyBorder="1" applyAlignment="1">
      <alignment horizontal="center" vertical="center"/>
      <protection/>
    </xf>
    <xf numFmtId="0" fontId="45" fillId="0" borderId="24" xfId="52" applyFont="1" applyBorder="1" applyAlignment="1">
      <alignment horizontal="center" vertical="center"/>
      <protection/>
    </xf>
    <xf numFmtId="0" fontId="45" fillId="0" borderId="24" xfId="52" applyFont="1" applyBorder="1" applyAlignment="1">
      <alignment horizontal="center" vertical="center" wrapText="1"/>
      <protection/>
    </xf>
    <xf numFmtId="0" fontId="45" fillId="0" borderId="24" xfId="52" applyFont="1" applyBorder="1" applyAlignment="1">
      <alignment horizontal="center" vertical="center" wrapText="1"/>
      <protection/>
    </xf>
    <xf numFmtId="0" fontId="57" fillId="0" borderId="24" xfId="52" applyFont="1" applyBorder="1" applyAlignment="1">
      <alignment horizontal="center" vertical="center"/>
      <protection/>
    </xf>
    <xf numFmtId="0" fontId="58" fillId="0" borderId="24" xfId="52" applyFont="1" applyBorder="1" applyAlignment="1">
      <alignment horizontal="center" vertical="center"/>
      <protection/>
    </xf>
    <xf numFmtId="17" fontId="18" fillId="0" borderId="24" xfId="52" applyNumberFormat="1" applyBorder="1">
      <alignment/>
      <protection/>
    </xf>
    <xf numFmtId="0" fontId="18" fillId="0" borderId="24" xfId="52" applyBorder="1">
      <alignment/>
      <protection/>
    </xf>
    <xf numFmtId="0" fontId="18" fillId="0" borderId="24" xfId="52" applyFill="1" applyBorder="1">
      <alignment/>
      <protection/>
    </xf>
    <xf numFmtId="164" fontId="18" fillId="0" borderId="24" xfId="52" applyNumberFormat="1" applyBorder="1">
      <alignment/>
      <protection/>
    </xf>
    <xf numFmtId="4" fontId="18" fillId="0" borderId="24" xfId="52" applyNumberFormat="1" applyBorder="1">
      <alignment/>
      <protection/>
    </xf>
    <xf numFmtId="4" fontId="45" fillId="0" borderId="24" xfId="52" applyNumberFormat="1" applyFont="1" applyBorder="1">
      <alignment/>
      <protection/>
    </xf>
    <xf numFmtId="17" fontId="45" fillId="0" borderId="24" xfId="52" applyNumberFormat="1" applyFont="1" applyBorder="1">
      <alignment/>
      <protection/>
    </xf>
    <xf numFmtId="0" fontId="45" fillId="0" borderId="24" xfId="52" applyFont="1" applyBorder="1">
      <alignment/>
      <protection/>
    </xf>
    <xf numFmtId="0" fontId="45" fillId="34" borderId="25" xfId="52" applyFont="1" applyFill="1" applyBorder="1" applyAlignment="1">
      <alignment horizontal="center" vertical="center"/>
      <protection/>
    </xf>
    <xf numFmtId="0" fontId="45" fillId="34" borderId="26" xfId="52" applyFont="1" applyFill="1" applyBorder="1" applyAlignment="1">
      <alignment horizontal="center" vertical="center"/>
      <protection/>
    </xf>
    <xf numFmtId="0" fontId="45" fillId="34" borderId="27" xfId="52" applyFont="1" applyFill="1" applyBorder="1" applyAlignment="1">
      <alignment horizontal="center" vertical="center"/>
      <protection/>
    </xf>
    <xf numFmtId="0" fontId="45" fillId="35" borderId="24" xfId="52" applyFont="1" applyFill="1" applyBorder="1" applyAlignment="1">
      <alignment horizontal="center" vertical="center"/>
      <protection/>
    </xf>
    <xf numFmtId="0" fontId="18" fillId="35" borderId="24" xfId="52" applyFill="1" applyBorder="1" applyAlignment="1">
      <alignment/>
      <protection/>
    </xf>
    <xf numFmtId="0" fontId="45" fillId="0" borderId="28" xfId="52" applyFont="1" applyBorder="1" applyAlignment="1">
      <alignment horizontal="center" vertical="center" wrapText="1"/>
      <protection/>
    </xf>
    <xf numFmtId="0" fontId="18" fillId="0" borderId="29" xfId="52" applyBorder="1" applyAlignment="1">
      <alignment horizontal="center" vertical="center"/>
      <protection/>
    </xf>
    <xf numFmtId="0" fontId="18" fillId="0" borderId="30" xfId="52" applyBorder="1" applyAlignment="1">
      <alignment horizontal="center" vertical="center"/>
      <protection/>
    </xf>
    <xf numFmtId="0" fontId="18" fillId="0" borderId="31" xfId="52" applyBorder="1" applyAlignment="1">
      <alignment horizontal="center" vertical="center"/>
      <protection/>
    </xf>
    <xf numFmtId="0" fontId="45" fillId="35" borderId="32" xfId="52" applyFont="1" applyFill="1" applyBorder="1" applyAlignment="1">
      <alignment horizontal="center" vertical="center"/>
      <protection/>
    </xf>
    <xf numFmtId="0" fontId="18" fillId="35" borderId="33" xfId="52" applyFill="1" applyBorder="1" applyAlignment="1">
      <alignment horizontal="center" vertical="center"/>
      <protection/>
    </xf>
    <xf numFmtId="0" fontId="18" fillId="35" borderId="34" xfId="52" applyFill="1" applyBorder="1" applyAlignment="1">
      <alignment horizontal="center" vertical="center"/>
      <protection/>
    </xf>
    <xf numFmtId="0" fontId="18" fillId="0" borderId="35" xfId="52" applyBorder="1" applyAlignment="1">
      <alignment horizontal="center" vertical="center" wrapText="1"/>
      <protection/>
    </xf>
    <xf numFmtId="0" fontId="45" fillId="34" borderId="24" xfId="52" applyFont="1" applyFill="1" applyBorder="1" applyAlignment="1">
      <alignment horizontal="center" vertical="center" wrapText="1"/>
      <protection/>
    </xf>
    <xf numFmtId="0" fontId="45" fillId="35" borderId="24" xfId="52" applyFont="1" applyFill="1" applyBorder="1" applyAlignment="1">
      <alignment horizontal="center" vertical="center" wrapText="1"/>
      <protection/>
    </xf>
    <xf numFmtId="0" fontId="18" fillId="0" borderId="36" xfId="52" applyBorder="1" applyAlignment="1">
      <alignment horizontal="center" vertical="center" wrapText="1"/>
      <protection/>
    </xf>
    <xf numFmtId="0" fontId="57" fillId="34" borderId="24" xfId="52" applyFont="1" applyFill="1" applyBorder="1" applyAlignment="1">
      <alignment horizontal="center" vertical="center"/>
      <protection/>
    </xf>
    <xf numFmtId="0" fontId="57" fillId="35" borderId="24" xfId="52" applyFont="1" applyFill="1" applyBorder="1" applyAlignment="1">
      <alignment horizontal="center" vertical="center"/>
      <protection/>
    </xf>
    <xf numFmtId="0" fontId="18" fillId="34" borderId="24" xfId="52" applyFill="1" applyBorder="1">
      <alignment/>
      <protection/>
    </xf>
    <xf numFmtId="4" fontId="18" fillId="34" borderId="24" xfId="52" applyNumberFormat="1" applyFill="1" applyBorder="1">
      <alignment/>
      <protection/>
    </xf>
    <xf numFmtId="0" fontId="18" fillId="35" borderId="24" xfId="52" applyFill="1" applyBorder="1">
      <alignment/>
      <protection/>
    </xf>
    <xf numFmtId="4" fontId="18" fillId="35" borderId="24" xfId="52" applyNumberFormat="1" applyFill="1" applyBorder="1">
      <alignment/>
      <protection/>
    </xf>
    <xf numFmtId="0" fontId="45" fillId="34" borderId="24" xfId="52" applyFont="1" applyFill="1" applyBorder="1">
      <alignment/>
      <protection/>
    </xf>
    <xf numFmtId="4" fontId="45" fillId="34" borderId="24" xfId="52" applyNumberFormat="1" applyFont="1" applyFill="1" applyBorder="1">
      <alignment/>
      <protection/>
    </xf>
    <xf numFmtId="0" fontId="45" fillId="35" borderId="24" xfId="52" applyFont="1" applyFill="1" applyBorder="1">
      <alignment/>
      <protection/>
    </xf>
    <xf numFmtId="4" fontId="45" fillId="35" borderId="24" xfId="52" applyNumberFormat="1" applyFont="1" applyFill="1" applyBorder="1">
      <alignment/>
      <protection/>
    </xf>
    <xf numFmtId="0" fontId="18" fillId="0" borderId="0" xfId="52" applyFont="1" applyAlignment="1">
      <alignment horizontal="right"/>
      <protection/>
    </xf>
    <xf numFmtId="0" fontId="18" fillId="0" borderId="28" xfId="52" applyFont="1" applyBorder="1" applyAlignment="1">
      <alignment horizontal="center" vertical="center"/>
      <protection/>
    </xf>
    <xf numFmtId="0" fontId="18" fillId="0" borderId="24" xfId="52" applyFont="1" applyBorder="1">
      <alignment/>
      <protection/>
    </xf>
    <xf numFmtId="0" fontId="18" fillId="0" borderId="36" xfId="52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3" fontId="26" fillId="0" borderId="17" xfId="52" applyNumberFormat="1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3" fillId="0" borderId="0" xfId="52" applyFont="1">
      <alignment/>
      <protection/>
    </xf>
    <xf numFmtId="0" fontId="29" fillId="0" borderId="0" xfId="52" applyFont="1">
      <alignment/>
      <protection/>
    </xf>
    <xf numFmtId="0" fontId="56" fillId="0" borderId="0" xfId="52" applyFont="1">
      <alignment/>
      <protection/>
    </xf>
    <xf numFmtId="4" fontId="55" fillId="0" borderId="17" xfId="52" applyNumberFormat="1" applyFont="1" applyBorder="1" applyAlignment="1">
      <alignment horizontal="center" vertical="center" wrapText="1"/>
      <protection/>
    </xf>
    <xf numFmtId="4" fontId="18" fillId="0" borderId="19" xfId="52" applyNumberFormat="1" applyBorder="1" applyAlignment="1">
      <alignment horizontal="center" vertical="center"/>
      <protection/>
    </xf>
    <xf numFmtId="4" fontId="55" fillId="0" borderId="17" xfId="52" applyNumberFormat="1" applyFont="1" applyBorder="1" applyAlignment="1">
      <alignment horizontal="center" vertical="top" wrapText="1"/>
      <protection/>
    </xf>
    <xf numFmtId="4" fontId="26" fillId="0" borderId="10" xfId="52" applyNumberFormat="1" applyFont="1" applyFill="1" applyBorder="1" applyAlignment="1">
      <alignment horizontal="center" vertical="center" wrapText="1"/>
      <protection/>
    </xf>
    <xf numFmtId="0" fontId="18" fillId="0" borderId="19" xfId="52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externalLink" Target="externalLinks/externalLink5.xml" /><Relationship Id="rId57" Type="http://schemas.openxmlformats.org/officeDocument/2006/relationships/externalLink" Target="externalLinks/externalLink6.xml" /><Relationship Id="rId58" Type="http://schemas.openxmlformats.org/officeDocument/2006/relationships/externalLink" Target="externalLinks/externalLink7.xml" /><Relationship Id="rId59" Type="http://schemas.openxmlformats.org/officeDocument/2006/relationships/externalLink" Target="externalLinks/externalLink8.xml" /><Relationship Id="rId60" Type="http://schemas.openxmlformats.org/officeDocument/2006/relationships/externalLink" Target="externalLinks/externalLink9.xml" /><Relationship Id="rId61" Type="http://schemas.openxmlformats.org/officeDocument/2006/relationships/externalLink" Target="externalLinks/externalLink10.xml" /><Relationship Id="rId62" Type="http://schemas.openxmlformats.org/officeDocument/2006/relationships/externalLink" Target="externalLinks/externalLink11.xml" /><Relationship Id="rId63" Type="http://schemas.openxmlformats.org/officeDocument/2006/relationships/externalLink" Target="externalLinks/externalLink12.xml" /><Relationship Id="rId64" Type="http://schemas.openxmlformats.org/officeDocument/2006/relationships/externalLink" Target="externalLinks/externalLink13.xml" /><Relationship Id="rId65" Type="http://schemas.openxmlformats.org/officeDocument/2006/relationships/externalLink" Target="externalLinks/externalLink14.xml" /><Relationship Id="rId66" Type="http://schemas.openxmlformats.org/officeDocument/2006/relationships/externalLink" Target="externalLinks/externalLink15.xml" /><Relationship Id="rId67" Type="http://schemas.openxmlformats.org/officeDocument/2006/relationships/externalLink" Target="externalLinks/externalLink16.xml" /><Relationship Id="rId68" Type="http://schemas.openxmlformats.org/officeDocument/2006/relationships/externalLink" Target="externalLinks/externalLink17.xml" /><Relationship Id="rId69" Type="http://schemas.openxmlformats.org/officeDocument/2006/relationships/externalLink" Target="externalLinks/externalLink18.xml" /><Relationship Id="rId70" Type="http://schemas.openxmlformats.org/officeDocument/2006/relationships/externalLink" Target="externalLinks/externalLink19.xml" /><Relationship Id="rId71" Type="http://schemas.openxmlformats.org/officeDocument/2006/relationships/externalLink" Target="externalLinks/externalLink20.xml" /><Relationship Id="rId72" Type="http://schemas.openxmlformats.org/officeDocument/2006/relationships/externalLink" Target="externalLinks/externalLink21.xml" /><Relationship Id="rId73" Type="http://schemas.openxmlformats.org/officeDocument/2006/relationships/externalLink" Target="externalLinks/externalLink22.xml" /><Relationship Id="rId74" Type="http://schemas.openxmlformats.org/officeDocument/2006/relationships/externalLink" Target="externalLinks/externalLink23.xml" /><Relationship Id="rId75" Type="http://schemas.openxmlformats.org/officeDocument/2006/relationships/externalLink" Target="externalLinks/externalLink24.xml" /><Relationship Id="rId76" Type="http://schemas.openxmlformats.org/officeDocument/2006/relationships/externalLink" Target="externalLinks/externalLink25.xml" /><Relationship Id="rId77" Type="http://schemas.openxmlformats.org/officeDocument/2006/relationships/externalLink" Target="externalLinks/externalLink26.xml" /><Relationship Id="rId78" Type="http://schemas.openxmlformats.org/officeDocument/2006/relationships/externalLink" Target="externalLinks/externalLink27.xml" /><Relationship Id="rId79" Type="http://schemas.openxmlformats.org/officeDocument/2006/relationships/externalLink" Target="externalLinks/externalLink28.xml" /><Relationship Id="rId80" Type="http://schemas.openxmlformats.org/officeDocument/2006/relationships/externalLink" Target="externalLinks/externalLink29.xml" /><Relationship Id="rId81" Type="http://schemas.openxmlformats.org/officeDocument/2006/relationships/externalLink" Target="externalLinks/externalLink30.xml" /><Relationship Id="rId82" Type="http://schemas.openxmlformats.org/officeDocument/2006/relationships/externalLink" Target="externalLinks/externalLink31.xml" /><Relationship Id="rId83" Type="http://schemas.openxmlformats.org/officeDocument/2006/relationships/externalLink" Target="externalLinks/externalLink32.xml" /><Relationship Id="rId84" Type="http://schemas.openxmlformats.org/officeDocument/2006/relationships/externalLink" Target="externalLinks/externalLink33.xml" /><Relationship Id="rId85" Type="http://schemas.openxmlformats.org/officeDocument/2006/relationships/externalLink" Target="externalLinks/externalLink34.xml" /><Relationship Id="rId86" Type="http://schemas.openxmlformats.org/officeDocument/2006/relationships/externalLink" Target="externalLinks/externalLink35.xml" /><Relationship Id="rId87" Type="http://schemas.openxmlformats.org/officeDocument/2006/relationships/externalLink" Target="externalLinks/externalLink36.xml" /><Relationship Id="rId88" Type="http://schemas.openxmlformats.org/officeDocument/2006/relationships/externalLink" Target="externalLinks/externalLink37.xml" /><Relationship Id="rId89" Type="http://schemas.openxmlformats.org/officeDocument/2006/relationships/externalLink" Target="externalLinks/externalLink38.xml" /><Relationship Id="rId90" Type="http://schemas.openxmlformats.org/officeDocument/2006/relationships/externalLink" Target="externalLinks/externalLink39.xml" /><Relationship Id="rId91" Type="http://schemas.openxmlformats.org/officeDocument/2006/relationships/externalLink" Target="externalLinks/externalLink40.xml" /><Relationship Id="rId92" Type="http://schemas.openxmlformats.org/officeDocument/2006/relationships/externalLink" Target="externalLinks/externalLink41.xml" /><Relationship Id="rId93" Type="http://schemas.openxmlformats.org/officeDocument/2006/relationships/externalLink" Target="externalLinks/externalLink42.xml" /><Relationship Id="rId94" Type="http://schemas.openxmlformats.org/officeDocument/2006/relationships/externalLink" Target="externalLinks/externalLink43.xml" /><Relationship Id="rId95" Type="http://schemas.openxmlformats.org/officeDocument/2006/relationships/externalLink" Target="externalLinks/externalLink44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39_&#1087;&#1086;&#1086;&#1073;&#1098;&#1077;&#1082;&#1090;&#1085;&#1099;&#1081;_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51_&#1087;&#1086;&#1086;&#1073;&#1098;&#1077;&#1082;&#1090;&#1085;&#1099;&#1081;_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51&#1040;_&#1087;&#1086;&#1086;&#1073;&#1098;&#1077;&#1082;&#1090;&#1085;&#1099;&#1081;_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52_&#1087;&#1086;&#1086;&#1073;&#1098;&#1077;&#1082;&#1090;&#1085;&#1099;&#1081;_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54_&#1087;&#1086;&#1086;&#1073;&#1098;&#1077;&#1082;&#1090;&#1085;&#1099;&#1081;_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59_&#1087;&#1086;&#1086;&#1073;&#1098;&#1077;&#1082;&#1090;&#1085;&#1099;&#1081;_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61_&#1087;&#1086;&#1086;&#1073;&#1098;&#1077;&#1082;&#1090;&#1085;&#1099;&#1081;_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15_&#1087;&#1086;&#1086;&#1073;&#1098;&#1077;&#1082;&#1090;&#1085;&#1099;&#1081;_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17_&#1055;&#1086;&#1086;&#1073;&#1098;&#1077;&#1082;&#1090;&#1085;&#1099;&#1081;_2013%20-%20&#1054;&#1041;&#1065;&#1048;&#104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19_&#1087;&#1086;&#1086;&#1073;&#1098;&#1077;&#1082;&#1090;&#1085;&#1099;&#1081;_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21_&#1087;&#1086;&#1086;&#1073;&#1098;&#1077;&#1082;&#1090;&#1085;&#1099;&#1081;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40_&#1087;&#1086;&#1086;&#1073;&#1098;&#1077;&#1082;&#1090;&#1085;&#1099;&#1081;_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23_&#1087;&#1086;&#1086;&#1073;&#1098;&#1077;&#1082;&#1090;&#1085;&#1099;&#1081;_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25_&#1087;&#1086;&#1086;&#1073;&#1098;&#1077;&#1082;&#1090;&#1085;&#1099;&#1081;_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27_&#1087;&#1086;&#1086;&#1073;&#1098;&#1077;&#1082;&#1090;&#1085;&#1099;&#1081;_20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29_&#1087;&#1086;&#1086;&#1073;&#1098;&#1077;&#1082;&#1090;&#1085;&#1099;&#1081;_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31_&#1087;&#1086;&#1086;&#1073;&#1098;&#1077;&#1082;&#1090;&#1085;&#1099;&#1081;_20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2;&#1083;&#1072;&#1089;&#1086;&#1074;&#1072;_35_&#1087;&#1086;&#1086;&#1073;&#1098;&#1077;&#1082;&#1090;&#1085;&#1099;&#1081;_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3;&#1077;&#1086;&#1083;&#1086;&#1075;&#1086;&#1074;_4_&#1087;&#1086;&#1086;&#1073;&#1098;&#1077;&#1082;&#1090;&#1085;&#1099;&#1081;_20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3;&#1077;&#1086;&#1083;&#1086;&#1075;&#1086;&#1074;_8_&#1087;&#1086;&#1086;&#1073;&#1098;&#1077;&#1082;&#1090;&#1085;&#1099;&#1081;_201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36_&#1087;&#1086;&#1086;&#1073;&#1098;&#1077;&#1082;&#1090;&#1085;&#1099;&#1081;_20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38_&#1087;&#1086;&#1086;&#1073;&#1098;&#1077;&#1082;&#1090;&#1085;&#1099;&#1081;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41_&#1087;&#1086;&#1086;&#1073;&#1098;&#1077;&#1082;&#1090;&#1085;&#1099;&#1081;_20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40_&#1087;&#1086;&#1086;&#1073;&#1098;&#1077;&#1082;&#1090;&#1085;&#1099;&#1081;_201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42_&#1087;&#1086;&#1086;&#1073;&#1098;&#1077;&#1082;&#1090;&#1085;&#1099;&#1081;_201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44_&#1087;&#1086;&#1086;&#1073;&#1098;&#1077;&#1082;&#1090;&#1085;&#1099;&#1081;_201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46_&#1087;&#1086;&#1086;&#1073;&#1098;&#1077;&#1082;&#1090;&#1085;&#1099;&#1081;_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48_&#1087;&#1086;&#1086;&#1073;&#1098;&#1077;&#1082;&#1090;&#1085;&#1099;&#1081;_201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48&#1040;_&#1087;&#1086;&#1086;&#1073;&#1098;&#1077;&#1082;&#1090;&#1085;&#1099;&#1081;_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52_&#1087;&#1086;&#1086;&#1073;&#1098;&#1077;&#1082;&#1090;&#1085;&#1099;&#1081;_201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1;&#1077;&#1086;&#1085;&#1086;&#1074;&#1072;_56_&#1087;&#1086;&#1086;&#1073;&#1098;&#1077;&#1082;&#1090;&#1085;&#1099;&#1081;_2013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3;&#1077;&#1092;&#1090;&#1103;&#1085;&#1080;&#1082;&#1086;&#1074;_53_&#1087;&#1086;&#1086;&#1073;&#1098;&#1077;&#1082;&#1090;&#1085;&#1099;&#1081;_201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3;&#1077;&#1092;&#1090;&#1103;&#1085;&#1080;&#1082;&#1086;&#1074;_55_&#1087;&#1086;&#1086;&#1073;&#1098;&#1077;&#1082;&#1090;&#1085;&#1099;&#1081;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43_&#1087;&#1086;&#1086;&#1073;&#1098;&#1077;&#1082;&#1090;&#1085;&#1099;&#1081;_20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3;&#1077;&#1092;&#1090;&#1103;&#1085;&#1080;&#1082;&#1086;&#1074;_57_&#1087;&#1086;&#1086;&#1073;&#1098;&#1077;&#1082;&#1090;&#1085;&#1099;&#1081;_201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53;&#1077;&#1092;&#1090;&#1103;&#1085;&#1080;&#1082;&#1086;&#1074;_59_&#1087;&#1086;&#1086;&#1073;&#1098;&#1077;&#1082;&#1090;&#1085;&#1099;&#1081;_2013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69;&#1082;&#1074;&#1072;&#1090;&#1086;&#1088;&#1085;&#1072;&#1103;_58_&#1087;&#1086;&#1086;&#1073;&#1098;&#1077;&#1082;&#1090;&#1085;&#1099;&#1081;_201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69;&#1082;&#1074;&#1072;&#1090;&#1086;&#1088;&#1085;&#1072;&#1103;_60_&#1087;&#1086;&#1086;&#1073;&#1098;&#1077;&#1082;&#1090;&#1085;&#1099;&#1081;_2013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69;&#1082;&#1074;&#1072;&#1090;&#1086;&#1088;&#1085;&#1072;&#1103;_62_&#1087;&#1086;&#1086;&#1073;&#1098;&#1077;&#1082;&#1090;&#1085;&#1099;&#1081;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46_&#1087;&#1086;&#1086;&#1073;&#1098;&#1077;&#1082;&#1090;&#1085;&#1099;&#1081;_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47_&#1087;&#1086;&#1086;&#1073;&#1098;&#1077;&#1082;&#1090;&#1085;&#1099;&#1081;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48_&#1087;&#1086;&#1086;&#1073;&#1098;&#1077;&#1082;&#1090;&#1085;&#1099;&#1081;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49_&#1087;&#1086;&#1086;&#1073;&#1098;&#1077;&#1082;&#1090;&#1085;&#1099;&#1081;_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4;&#1086;&#1080;%20&#1076;&#1086;&#1082;&#1091;&#1084;&#1077;&#1085;&#1090;&#1099;\&#1069;&#1082;&#1086;&#1085;&#1086;&#1084;&#1080;&#1089;&#1090;\&#1044;&#1086;&#1084;_&#1052;&#1072;&#1089;&#1090;&#1077;&#1088;\&#1054;&#1058;&#1063;&#1025;&#1058;&#1067;\2013\&#1055;&#1086;&#1086;&#1073;&#1098;&#1077;&#1082;&#1090;&#1085;&#1099;&#1081;_&#1044;&#1052;_2013\&#1041;&#1077;&#1083;&#1103;&#1077;&#1074;&#1072;_49&#1040;_&#1087;&#1086;&#1086;&#1073;&#1098;&#1077;&#1082;&#1090;&#1085;&#1099;&#1081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210676</v>
          </cell>
          <cell r="R12">
            <v>230597</v>
          </cell>
          <cell r="U12">
            <v>117660</v>
          </cell>
        </row>
        <row r="15">
          <cell r="N15">
            <v>115655</v>
          </cell>
          <cell r="R15">
            <v>126591</v>
          </cell>
          <cell r="T15">
            <v>115655</v>
          </cell>
        </row>
        <row r="18">
          <cell r="N18">
            <v>45528</v>
          </cell>
          <cell r="R18">
            <v>49833</v>
          </cell>
        </row>
        <row r="19">
          <cell r="N19">
            <v>3935</v>
          </cell>
          <cell r="R19">
            <v>4307</v>
          </cell>
        </row>
        <row r="20">
          <cell r="N20">
            <v>8712</v>
          </cell>
          <cell r="R20">
            <v>9536</v>
          </cell>
        </row>
        <row r="26">
          <cell r="N26">
            <v>79535</v>
          </cell>
          <cell r="R26">
            <v>87056</v>
          </cell>
        </row>
        <row r="33">
          <cell r="N33">
            <v>200033</v>
          </cell>
          <cell r="R33">
            <v>218947</v>
          </cell>
        </row>
        <row r="36">
          <cell r="T36">
            <v>1057090</v>
          </cell>
        </row>
        <row r="41">
          <cell r="K41">
            <v>7027</v>
          </cell>
          <cell r="R41">
            <v>7692</v>
          </cell>
        </row>
        <row r="42">
          <cell r="N42">
            <v>7307</v>
          </cell>
          <cell r="R42">
            <v>7998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218096</v>
          </cell>
          <cell r="R12">
            <v>230720</v>
          </cell>
          <cell r="U12">
            <v>189155</v>
          </cell>
        </row>
        <row r="15">
          <cell r="N15">
            <v>121128</v>
          </cell>
          <cell r="R15">
            <v>128138</v>
          </cell>
          <cell r="T15">
            <v>121128</v>
          </cell>
        </row>
        <row r="18">
          <cell r="N18">
            <v>46631</v>
          </cell>
          <cell r="R18">
            <v>49330</v>
          </cell>
          <cell r="T18">
            <v>46631</v>
          </cell>
        </row>
        <row r="19">
          <cell r="N19">
            <v>4016</v>
          </cell>
          <cell r="R19">
            <v>4249</v>
          </cell>
          <cell r="T19">
            <v>4016</v>
          </cell>
        </row>
        <row r="20">
          <cell r="N20">
            <v>9090</v>
          </cell>
          <cell r="R20">
            <v>9616</v>
          </cell>
          <cell r="T20">
            <v>9090</v>
          </cell>
        </row>
        <row r="26">
          <cell r="N26">
            <v>82709</v>
          </cell>
          <cell r="R26">
            <v>87496</v>
          </cell>
          <cell r="T26">
            <v>82709</v>
          </cell>
        </row>
        <row r="33">
          <cell r="N33">
            <v>233002</v>
          </cell>
          <cell r="R33">
            <v>246488</v>
          </cell>
        </row>
        <row r="36">
          <cell r="T36">
            <v>1094570</v>
          </cell>
        </row>
        <row r="41">
          <cell r="N41">
            <v>7133</v>
          </cell>
          <cell r="R41">
            <v>7545</v>
          </cell>
          <cell r="T41">
            <v>7133</v>
          </cell>
        </row>
        <row r="42">
          <cell r="N42">
            <v>7440</v>
          </cell>
          <cell r="R42">
            <v>7871</v>
          </cell>
          <cell r="T42">
            <v>7440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162543</v>
          </cell>
          <cell r="R12">
            <v>193428</v>
          </cell>
        </row>
        <row r="15">
          <cell r="N15">
            <v>79820</v>
          </cell>
          <cell r="R15">
            <v>94986</v>
          </cell>
          <cell r="T15">
            <v>79820</v>
          </cell>
        </row>
        <row r="18">
          <cell r="N18">
            <v>27026</v>
          </cell>
          <cell r="R18">
            <v>32161</v>
          </cell>
          <cell r="T18">
            <v>27026</v>
          </cell>
        </row>
        <row r="19">
          <cell r="N19">
            <v>1785</v>
          </cell>
          <cell r="R19">
            <v>2124</v>
          </cell>
          <cell r="T19">
            <v>1785</v>
          </cell>
        </row>
        <row r="20">
          <cell r="N20">
            <v>7649</v>
          </cell>
          <cell r="R20">
            <v>9102</v>
          </cell>
          <cell r="T20">
            <v>7649</v>
          </cell>
        </row>
        <row r="24">
          <cell r="N24">
            <v>35695</v>
          </cell>
          <cell r="R24">
            <v>42478</v>
          </cell>
          <cell r="T24">
            <v>35695</v>
          </cell>
        </row>
        <row r="25">
          <cell r="N25">
            <v>139287</v>
          </cell>
          <cell r="R25">
            <v>165753</v>
          </cell>
        </row>
        <row r="26">
          <cell r="N26">
            <v>72156</v>
          </cell>
          <cell r="R26">
            <v>85866</v>
          </cell>
          <cell r="T26">
            <v>72156</v>
          </cell>
        </row>
        <row r="33">
          <cell r="N33">
            <v>162963</v>
          </cell>
          <cell r="R33">
            <v>193928</v>
          </cell>
        </row>
        <row r="36">
          <cell r="T36">
            <v>949908</v>
          </cell>
        </row>
        <row r="41">
          <cell r="N41">
            <v>2550</v>
          </cell>
          <cell r="R41">
            <v>3034</v>
          </cell>
          <cell r="T41">
            <v>2550</v>
          </cell>
        </row>
        <row r="42">
          <cell r="N42">
            <v>5865</v>
          </cell>
          <cell r="R42">
            <v>6979</v>
          </cell>
          <cell r="T42">
            <v>5865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248013</v>
          </cell>
          <cell r="R12">
            <v>275391</v>
          </cell>
          <cell r="U12">
            <v>87662</v>
          </cell>
        </row>
        <row r="15">
          <cell r="N15">
            <v>136021</v>
          </cell>
          <cell r="R15">
            <v>151036</v>
          </cell>
          <cell r="T15">
            <v>136021</v>
          </cell>
        </row>
        <row r="18">
          <cell r="N18">
            <v>40549</v>
          </cell>
          <cell r="R18">
            <v>45026</v>
          </cell>
          <cell r="T18">
            <v>40549</v>
          </cell>
        </row>
        <row r="19">
          <cell r="N19">
            <v>2678</v>
          </cell>
          <cell r="R19">
            <v>2973</v>
          </cell>
          <cell r="T19">
            <v>2678</v>
          </cell>
        </row>
        <row r="20">
          <cell r="N20">
            <v>11476</v>
          </cell>
          <cell r="R20">
            <v>12743</v>
          </cell>
          <cell r="T20">
            <v>11476</v>
          </cell>
        </row>
        <row r="24">
          <cell r="N24">
            <v>53555</v>
          </cell>
          <cell r="R24">
            <v>59467</v>
          </cell>
          <cell r="T24">
            <v>53555</v>
          </cell>
        </row>
        <row r="25">
          <cell r="N25">
            <v>183040</v>
          </cell>
          <cell r="R25">
            <v>203246</v>
          </cell>
        </row>
        <row r="26">
          <cell r="N26">
            <v>108260</v>
          </cell>
          <cell r="R26">
            <v>120210</v>
          </cell>
          <cell r="T26">
            <v>108260</v>
          </cell>
        </row>
        <row r="33">
          <cell r="N33">
            <v>220431</v>
          </cell>
          <cell r="R33">
            <v>244764</v>
          </cell>
        </row>
        <row r="36">
          <cell r="T36">
            <v>1168765</v>
          </cell>
        </row>
        <row r="41">
          <cell r="N41">
            <v>3825</v>
          </cell>
          <cell r="R41">
            <v>4248</v>
          </cell>
          <cell r="T41">
            <v>3825</v>
          </cell>
        </row>
        <row r="42">
          <cell r="N42">
            <v>8799</v>
          </cell>
          <cell r="R42">
            <v>9771</v>
          </cell>
          <cell r="T42">
            <v>8799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254032</v>
          </cell>
          <cell r="R12">
            <v>271162</v>
          </cell>
          <cell r="U12">
            <v>41861</v>
          </cell>
        </row>
        <row r="15">
          <cell r="N15">
            <v>135035</v>
          </cell>
          <cell r="R15">
            <v>144141</v>
          </cell>
          <cell r="T15">
            <v>135035</v>
          </cell>
        </row>
        <row r="17">
          <cell r="N17">
            <v>71466</v>
          </cell>
          <cell r="R17">
            <v>76285</v>
          </cell>
        </row>
        <row r="18">
          <cell r="N18">
            <v>40415</v>
          </cell>
          <cell r="R18">
            <v>43140</v>
          </cell>
          <cell r="T18">
            <v>40415</v>
          </cell>
        </row>
        <row r="19">
          <cell r="N19">
            <v>2669</v>
          </cell>
          <cell r="R19">
            <v>2849</v>
          </cell>
          <cell r="T19">
            <v>2669</v>
          </cell>
        </row>
        <row r="20">
          <cell r="N20">
            <v>11438</v>
          </cell>
          <cell r="R20">
            <v>12209</v>
          </cell>
          <cell r="T20">
            <v>11438</v>
          </cell>
        </row>
        <row r="24">
          <cell r="N24">
            <v>52895</v>
          </cell>
          <cell r="R24">
            <v>56461</v>
          </cell>
          <cell r="T24">
            <v>52895</v>
          </cell>
        </row>
        <row r="25">
          <cell r="N25">
            <v>182229</v>
          </cell>
          <cell r="R25">
            <v>194518</v>
          </cell>
        </row>
        <row r="26">
          <cell r="N26">
            <v>107899</v>
          </cell>
          <cell r="R26">
            <v>115175</v>
          </cell>
          <cell r="T26">
            <v>107899</v>
          </cell>
        </row>
        <row r="33">
          <cell r="N33">
            <v>251417</v>
          </cell>
          <cell r="R33">
            <v>268371</v>
          </cell>
        </row>
        <row r="36">
          <cell r="T36">
            <v>1645112</v>
          </cell>
        </row>
        <row r="41">
          <cell r="N41">
            <v>3813</v>
          </cell>
          <cell r="R41">
            <v>4070</v>
          </cell>
          <cell r="T41">
            <v>3813</v>
          </cell>
        </row>
        <row r="42">
          <cell r="N42">
            <v>8769</v>
          </cell>
          <cell r="R42">
            <v>9360</v>
          </cell>
          <cell r="T42">
            <v>8769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543331</v>
          </cell>
          <cell r="R12">
            <v>580708</v>
          </cell>
        </row>
        <row r="15">
          <cell r="N15">
            <v>280324</v>
          </cell>
          <cell r="R15">
            <v>299608</v>
          </cell>
          <cell r="T15">
            <v>280324</v>
          </cell>
        </row>
        <row r="17">
          <cell r="N17">
            <v>84953</v>
          </cell>
          <cell r="R17">
            <v>90797</v>
          </cell>
        </row>
        <row r="18">
          <cell r="N18">
            <v>91336</v>
          </cell>
          <cell r="R18">
            <v>97619</v>
          </cell>
          <cell r="T18">
            <v>91336</v>
          </cell>
        </row>
        <row r="19">
          <cell r="N19">
            <v>6033</v>
          </cell>
          <cell r="R19">
            <v>6448</v>
          </cell>
          <cell r="T19">
            <v>6033</v>
          </cell>
        </row>
        <row r="20">
          <cell r="N20">
            <v>25849</v>
          </cell>
          <cell r="R20">
            <v>27628</v>
          </cell>
          <cell r="T20">
            <v>25849</v>
          </cell>
        </row>
        <row r="24">
          <cell r="N24">
            <v>120229</v>
          </cell>
          <cell r="R24">
            <v>128500</v>
          </cell>
          <cell r="T24">
            <v>120229</v>
          </cell>
        </row>
        <row r="25">
          <cell r="N25">
            <v>299504</v>
          </cell>
          <cell r="R25">
            <v>320108</v>
          </cell>
        </row>
        <row r="26">
          <cell r="N26">
            <v>243848</v>
          </cell>
          <cell r="R26">
            <v>260623</v>
          </cell>
          <cell r="T26">
            <v>243848</v>
          </cell>
        </row>
        <row r="33">
          <cell r="N33">
            <v>584150</v>
          </cell>
          <cell r="R33">
            <v>624334</v>
          </cell>
        </row>
        <row r="36">
          <cell r="T36">
            <v>3066059</v>
          </cell>
        </row>
        <row r="39">
          <cell r="N39">
            <v>269114</v>
          </cell>
          <cell r="R39">
            <v>287626</v>
          </cell>
          <cell r="T39">
            <v>355614</v>
          </cell>
        </row>
        <row r="41">
          <cell r="N41">
            <v>8616</v>
          </cell>
          <cell r="R41">
            <v>9209</v>
          </cell>
          <cell r="T41">
            <v>8616</v>
          </cell>
        </row>
        <row r="42">
          <cell r="N42">
            <v>19819</v>
          </cell>
          <cell r="R42">
            <v>21183</v>
          </cell>
          <cell r="T42">
            <v>19819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469423</v>
          </cell>
          <cell r="R12">
            <v>503235</v>
          </cell>
        </row>
        <row r="15">
          <cell r="N15">
            <v>252101</v>
          </cell>
          <cell r="R15">
            <v>270260</v>
          </cell>
          <cell r="T15">
            <v>252101</v>
          </cell>
        </row>
        <row r="18">
          <cell r="N18">
            <v>102429</v>
          </cell>
          <cell r="R18">
            <v>109807</v>
          </cell>
          <cell r="T18">
            <v>102429</v>
          </cell>
        </row>
        <row r="19">
          <cell r="N19">
            <v>8852</v>
          </cell>
          <cell r="R19">
            <v>9490</v>
          </cell>
          <cell r="T19">
            <v>8852</v>
          </cell>
        </row>
        <row r="20">
          <cell r="N20">
            <v>19602</v>
          </cell>
          <cell r="R20">
            <v>21014</v>
          </cell>
          <cell r="T20">
            <v>19602</v>
          </cell>
        </row>
        <row r="26">
          <cell r="N26">
            <v>178935</v>
          </cell>
          <cell r="R26">
            <v>191824</v>
          </cell>
          <cell r="T26">
            <v>178935</v>
          </cell>
        </row>
        <row r="33">
          <cell r="N33">
            <v>413600</v>
          </cell>
          <cell r="R33">
            <v>443391</v>
          </cell>
        </row>
        <row r="36">
          <cell r="T36">
            <v>2285774</v>
          </cell>
        </row>
        <row r="41">
          <cell r="N41">
            <v>15811</v>
          </cell>
          <cell r="R41">
            <v>16949</v>
          </cell>
          <cell r="T41">
            <v>15811</v>
          </cell>
        </row>
        <row r="42">
          <cell r="N42">
            <v>16439</v>
          </cell>
          <cell r="R42">
            <v>17623</v>
          </cell>
          <cell r="T42">
            <v>16439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399376</v>
          </cell>
          <cell r="R12">
            <v>426465</v>
          </cell>
        </row>
        <row r="15">
          <cell r="N15">
            <v>212023</v>
          </cell>
          <cell r="R15">
            <v>226404</v>
          </cell>
          <cell r="T15">
            <v>212023</v>
          </cell>
        </row>
        <row r="18">
          <cell r="N18">
            <v>63338</v>
          </cell>
          <cell r="R18">
            <v>67634</v>
          </cell>
          <cell r="T18">
            <v>63338</v>
          </cell>
        </row>
        <row r="19">
          <cell r="N19">
            <v>4183</v>
          </cell>
          <cell r="R19">
            <v>4467</v>
          </cell>
          <cell r="T19">
            <v>4183</v>
          </cell>
        </row>
        <row r="20">
          <cell r="N20">
            <v>17926</v>
          </cell>
          <cell r="R20">
            <v>19142</v>
          </cell>
          <cell r="T20">
            <v>17926</v>
          </cell>
        </row>
        <row r="24">
          <cell r="N24">
            <v>83654</v>
          </cell>
          <cell r="R24">
            <v>89328</v>
          </cell>
          <cell r="T24">
            <v>83654</v>
          </cell>
        </row>
        <row r="25">
          <cell r="N25">
            <v>298635</v>
          </cell>
          <cell r="R25">
            <v>318891</v>
          </cell>
        </row>
        <row r="26">
          <cell r="N26">
            <v>168720</v>
          </cell>
          <cell r="R26">
            <v>180164</v>
          </cell>
          <cell r="T26">
            <v>168720</v>
          </cell>
        </row>
        <row r="33">
          <cell r="N33">
            <v>332190</v>
          </cell>
          <cell r="R33">
            <v>354722</v>
          </cell>
        </row>
        <row r="36">
          <cell r="T36">
            <v>2398604</v>
          </cell>
        </row>
        <row r="41">
          <cell r="N41">
            <v>5975</v>
          </cell>
          <cell r="R41">
            <v>6381</v>
          </cell>
          <cell r="T41">
            <v>5975</v>
          </cell>
        </row>
        <row r="42">
          <cell r="N42">
            <v>13745</v>
          </cell>
          <cell r="R42">
            <v>14677</v>
          </cell>
          <cell r="T42">
            <v>13745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1889252</v>
          </cell>
          <cell r="R12">
            <v>1971432</v>
          </cell>
        </row>
        <row r="15">
          <cell r="N15">
            <v>1009687</v>
          </cell>
          <cell r="R15">
            <v>1053609</v>
          </cell>
        </row>
        <row r="17">
          <cell r="N17">
            <v>92911</v>
          </cell>
          <cell r="R17">
            <v>96530</v>
          </cell>
        </row>
        <row r="18">
          <cell r="N18">
            <v>298279</v>
          </cell>
          <cell r="R18">
            <v>311256</v>
          </cell>
        </row>
        <row r="19">
          <cell r="N19">
            <v>19657</v>
          </cell>
          <cell r="R19">
            <v>20510</v>
          </cell>
        </row>
        <row r="20">
          <cell r="N20">
            <v>84548</v>
          </cell>
          <cell r="R20">
            <v>88226</v>
          </cell>
        </row>
        <row r="24">
          <cell r="N24">
            <v>393440</v>
          </cell>
          <cell r="R24">
            <v>410556</v>
          </cell>
        </row>
        <row r="25">
          <cell r="N25">
            <v>1351316</v>
          </cell>
          <cell r="R25">
            <v>1410068</v>
          </cell>
        </row>
        <row r="26">
          <cell r="N26">
            <v>797004</v>
          </cell>
          <cell r="R26">
            <v>831676</v>
          </cell>
        </row>
        <row r="33">
          <cell r="N33">
            <v>1878522</v>
          </cell>
          <cell r="R33">
            <v>1960986</v>
          </cell>
        </row>
        <row r="36">
          <cell r="T36">
            <v>9120198</v>
          </cell>
        </row>
        <row r="41">
          <cell r="N41">
            <v>28054</v>
          </cell>
          <cell r="R41">
            <v>29274</v>
          </cell>
        </row>
        <row r="42">
          <cell r="N42">
            <v>64543</v>
          </cell>
          <cell r="R42">
            <v>67351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427723</v>
          </cell>
          <cell r="R12">
            <v>453362</v>
          </cell>
          <cell r="U12">
            <v>94354</v>
          </cell>
        </row>
        <row r="15">
          <cell r="N15">
            <v>212317</v>
          </cell>
          <cell r="R15">
            <v>225044</v>
          </cell>
          <cell r="T15">
            <v>212317</v>
          </cell>
        </row>
        <row r="17">
          <cell r="N17">
            <v>19980</v>
          </cell>
          <cell r="R17">
            <v>21177</v>
          </cell>
        </row>
        <row r="18">
          <cell r="N18">
            <v>96219</v>
          </cell>
          <cell r="R18">
            <v>101986</v>
          </cell>
          <cell r="T18">
            <v>96219</v>
          </cell>
        </row>
        <row r="19">
          <cell r="N19">
            <v>8309</v>
          </cell>
          <cell r="R19">
            <v>8807</v>
          </cell>
          <cell r="T19">
            <v>8309</v>
          </cell>
        </row>
        <row r="20">
          <cell r="N20">
            <v>18484</v>
          </cell>
          <cell r="R20">
            <v>19592</v>
          </cell>
          <cell r="T20">
            <v>18484</v>
          </cell>
        </row>
        <row r="26">
          <cell r="N26">
            <v>168623</v>
          </cell>
          <cell r="R26">
            <v>178731</v>
          </cell>
          <cell r="T26">
            <v>168623</v>
          </cell>
        </row>
        <row r="33">
          <cell r="N33">
            <v>349977</v>
          </cell>
          <cell r="R33">
            <v>370956</v>
          </cell>
        </row>
        <row r="36">
          <cell r="T36">
            <v>2490546</v>
          </cell>
        </row>
        <row r="41">
          <cell r="N41">
            <v>14823</v>
          </cell>
          <cell r="R41">
            <v>15712</v>
          </cell>
          <cell r="T41">
            <v>14823</v>
          </cell>
        </row>
        <row r="42">
          <cell r="N42">
            <v>15424</v>
          </cell>
          <cell r="R42">
            <v>16348</v>
          </cell>
          <cell r="T42">
            <v>15424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430396</v>
          </cell>
          <cell r="R12">
            <v>477835</v>
          </cell>
        </row>
        <row r="15">
          <cell r="N15">
            <v>242236</v>
          </cell>
          <cell r="R15">
            <v>268936</v>
          </cell>
          <cell r="T15">
            <v>242236</v>
          </cell>
        </row>
        <row r="18">
          <cell r="N18">
            <v>91637</v>
          </cell>
          <cell r="R18">
            <v>101737</v>
          </cell>
          <cell r="T18">
            <v>91637</v>
          </cell>
        </row>
        <row r="19">
          <cell r="N19">
            <v>7901</v>
          </cell>
          <cell r="R19">
            <v>8772</v>
          </cell>
          <cell r="T19">
            <v>7901</v>
          </cell>
        </row>
        <row r="20">
          <cell r="N20">
            <v>17759</v>
          </cell>
          <cell r="R20">
            <v>19717</v>
          </cell>
          <cell r="T20">
            <v>17759</v>
          </cell>
        </row>
        <row r="26">
          <cell r="N26">
            <v>161768</v>
          </cell>
          <cell r="R26">
            <v>179599</v>
          </cell>
          <cell r="T26">
            <v>161768</v>
          </cell>
        </row>
        <row r="33">
          <cell r="N33">
            <v>381767</v>
          </cell>
          <cell r="R33">
            <v>423846</v>
          </cell>
        </row>
        <row r="36">
          <cell r="T36">
            <v>2262576</v>
          </cell>
        </row>
        <row r="41">
          <cell r="N41">
            <v>14057</v>
          </cell>
          <cell r="R41">
            <v>15606</v>
          </cell>
          <cell r="T41">
            <v>14057</v>
          </cell>
        </row>
        <row r="42">
          <cell r="N42">
            <v>14648</v>
          </cell>
          <cell r="R42">
            <v>16262</v>
          </cell>
          <cell r="T42">
            <v>14648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250808</v>
          </cell>
          <cell r="R12">
            <v>274835</v>
          </cell>
          <cell r="U12">
            <v>49720</v>
          </cell>
        </row>
        <row r="15">
          <cell r="N15">
            <v>133830</v>
          </cell>
          <cell r="R15">
            <v>146651</v>
          </cell>
          <cell r="T15">
            <v>133830</v>
          </cell>
        </row>
        <row r="18">
          <cell r="N18">
            <v>39876</v>
          </cell>
          <cell r="R18">
            <v>43696</v>
          </cell>
          <cell r="T18">
            <v>39876</v>
          </cell>
        </row>
        <row r="19">
          <cell r="N19">
            <v>2634</v>
          </cell>
          <cell r="R19">
            <v>2886</v>
          </cell>
          <cell r="T19">
            <v>2634</v>
          </cell>
        </row>
        <row r="20">
          <cell r="N20">
            <v>11286</v>
          </cell>
          <cell r="R20">
            <v>12367</v>
          </cell>
          <cell r="T20">
            <v>11286</v>
          </cell>
        </row>
        <row r="24">
          <cell r="N24">
            <v>52667</v>
          </cell>
          <cell r="R24">
            <v>57712</v>
          </cell>
          <cell r="T24">
            <v>52667</v>
          </cell>
        </row>
        <row r="25">
          <cell r="N25">
            <v>179842</v>
          </cell>
          <cell r="R25">
            <v>197070</v>
          </cell>
          <cell r="T25">
            <v>179842</v>
          </cell>
        </row>
        <row r="26">
          <cell r="N26">
            <v>106463</v>
          </cell>
          <cell r="R26">
            <v>116662</v>
          </cell>
          <cell r="T26">
            <v>106463</v>
          </cell>
        </row>
        <row r="33">
          <cell r="N33">
            <v>235162</v>
          </cell>
          <cell r="R33">
            <v>257690</v>
          </cell>
        </row>
        <row r="36">
          <cell r="N36">
            <v>1125191</v>
          </cell>
          <cell r="T36">
            <v>1451140</v>
          </cell>
        </row>
        <row r="41">
          <cell r="N41">
            <v>3762</v>
          </cell>
          <cell r="R41">
            <v>4122</v>
          </cell>
          <cell r="T41">
            <v>3762</v>
          </cell>
        </row>
        <row r="42">
          <cell r="N42">
            <v>8653</v>
          </cell>
          <cell r="R42">
            <v>9482</v>
          </cell>
          <cell r="T42">
            <v>8653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442292</v>
          </cell>
          <cell r="R12">
            <v>478034</v>
          </cell>
        </row>
        <row r="15">
          <cell r="N15">
            <v>226339</v>
          </cell>
          <cell r="R15">
            <v>244630</v>
          </cell>
          <cell r="T15">
            <v>226339</v>
          </cell>
        </row>
        <row r="18">
          <cell r="N18">
            <v>98332</v>
          </cell>
          <cell r="R18">
            <v>106278</v>
          </cell>
          <cell r="T18">
            <v>98332</v>
          </cell>
        </row>
        <row r="19">
          <cell r="N19">
            <v>8488</v>
          </cell>
          <cell r="R19">
            <v>9174</v>
          </cell>
          <cell r="T19">
            <v>8488</v>
          </cell>
        </row>
        <row r="20">
          <cell r="N20">
            <v>18936</v>
          </cell>
          <cell r="R20">
            <v>20466</v>
          </cell>
          <cell r="T20">
            <v>18936</v>
          </cell>
        </row>
        <row r="26">
          <cell r="N26">
            <v>172668</v>
          </cell>
          <cell r="R26">
            <v>186622</v>
          </cell>
          <cell r="T26">
            <v>172668</v>
          </cell>
        </row>
        <row r="33">
          <cell r="N33">
            <v>400866</v>
          </cell>
          <cell r="R33">
            <v>433261</v>
          </cell>
        </row>
        <row r="36">
          <cell r="T36">
            <v>2315931</v>
          </cell>
        </row>
        <row r="41">
          <cell r="N41">
            <v>15132</v>
          </cell>
          <cell r="R41">
            <v>16355</v>
          </cell>
          <cell r="T41">
            <v>15132</v>
          </cell>
        </row>
        <row r="42">
          <cell r="N42">
            <v>15750</v>
          </cell>
          <cell r="R42">
            <v>17023</v>
          </cell>
          <cell r="T42">
            <v>15750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431528</v>
          </cell>
          <cell r="R12">
            <v>464176</v>
          </cell>
          <cell r="U12">
            <v>108501</v>
          </cell>
        </row>
        <row r="15">
          <cell r="N15">
            <v>240869</v>
          </cell>
          <cell r="R15">
            <v>259092</v>
          </cell>
          <cell r="T15">
            <v>240869</v>
          </cell>
        </row>
        <row r="18">
          <cell r="N18">
            <v>92046</v>
          </cell>
          <cell r="R18">
            <v>99009</v>
          </cell>
          <cell r="T18">
            <v>92046</v>
          </cell>
        </row>
        <row r="19">
          <cell r="N19">
            <v>7939</v>
          </cell>
          <cell r="R19">
            <v>8539</v>
          </cell>
          <cell r="T19">
            <v>7939</v>
          </cell>
        </row>
        <row r="20">
          <cell r="N20">
            <v>17813</v>
          </cell>
          <cell r="R20">
            <v>19161</v>
          </cell>
          <cell r="T20">
            <v>17813</v>
          </cell>
        </row>
        <row r="26">
          <cell r="N26">
            <v>162296</v>
          </cell>
          <cell r="R26">
            <v>174575</v>
          </cell>
          <cell r="T26">
            <v>162296</v>
          </cell>
        </row>
        <row r="33">
          <cell r="N33">
            <v>387288</v>
          </cell>
          <cell r="R33">
            <v>416588</v>
          </cell>
        </row>
        <row r="36">
          <cell r="T36">
            <v>2207756</v>
          </cell>
        </row>
        <row r="41">
          <cell r="N41">
            <v>14130</v>
          </cell>
          <cell r="R41">
            <v>15199</v>
          </cell>
          <cell r="T41">
            <v>14130</v>
          </cell>
        </row>
        <row r="42">
          <cell r="N42">
            <v>14719</v>
          </cell>
          <cell r="R42">
            <v>15833</v>
          </cell>
          <cell r="T42">
            <v>14719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453242</v>
          </cell>
          <cell r="R12">
            <v>476311</v>
          </cell>
        </row>
        <row r="15">
          <cell r="N15">
            <v>240146</v>
          </cell>
          <cell r="R15">
            <v>252370</v>
          </cell>
          <cell r="T15">
            <v>240146</v>
          </cell>
        </row>
        <row r="18">
          <cell r="N18">
            <v>99499</v>
          </cell>
          <cell r="R18">
            <v>104563</v>
          </cell>
          <cell r="T18">
            <v>99499</v>
          </cell>
        </row>
        <row r="19">
          <cell r="N19">
            <v>8582</v>
          </cell>
          <cell r="R19">
            <v>9019</v>
          </cell>
          <cell r="T19">
            <v>8582</v>
          </cell>
        </row>
        <row r="20">
          <cell r="N20">
            <v>19239</v>
          </cell>
          <cell r="R20">
            <v>20218</v>
          </cell>
          <cell r="T20">
            <v>19239</v>
          </cell>
        </row>
        <row r="26">
          <cell r="N26">
            <v>175311</v>
          </cell>
          <cell r="R26">
            <v>184234</v>
          </cell>
          <cell r="T26">
            <v>175311</v>
          </cell>
        </row>
        <row r="33">
          <cell r="N33">
            <v>390960</v>
          </cell>
          <cell r="R33">
            <v>410859</v>
          </cell>
        </row>
        <row r="36">
          <cell r="T36">
            <v>2285823</v>
          </cell>
        </row>
        <row r="41">
          <cell r="N41">
            <v>15280</v>
          </cell>
          <cell r="R41">
            <v>16058</v>
          </cell>
          <cell r="T41">
            <v>15280</v>
          </cell>
        </row>
        <row r="42">
          <cell r="N42">
            <v>15917</v>
          </cell>
          <cell r="R42">
            <v>16727</v>
          </cell>
          <cell r="T42">
            <v>15917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202886</v>
          </cell>
          <cell r="R12">
            <v>211088</v>
          </cell>
          <cell r="U12">
            <v>192761</v>
          </cell>
        </row>
        <row r="15">
          <cell r="N15">
            <v>107249</v>
          </cell>
          <cell r="R15">
            <v>111585</v>
          </cell>
          <cell r="T15">
            <v>107249</v>
          </cell>
        </row>
        <row r="18">
          <cell r="N18">
            <v>44564</v>
          </cell>
          <cell r="R18">
            <v>46366</v>
          </cell>
          <cell r="T18">
            <v>44564</v>
          </cell>
        </row>
        <row r="19">
          <cell r="N19">
            <v>3850</v>
          </cell>
          <cell r="R19">
            <v>4005</v>
          </cell>
          <cell r="T19">
            <v>3850</v>
          </cell>
        </row>
        <row r="20">
          <cell r="N20">
            <v>8543</v>
          </cell>
          <cell r="R20">
            <v>8889</v>
          </cell>
          <cell r="T20">
            <v>8543</v>
          </cell>
        </row>
        <row r="26">
          <cell r="N26">
            <v>77964</v>
          </cell>
          <cell r="R26">
            <v>81115</v>
          </cell>
          <cell r="T26">
            <v>77964</v>
          </cell>
        </row>
        <row r="33">
          <cell r="N33">
            <v>183615</v>
          </cell>
          <cell r="R33">
            <v>191037</v>
          </cell>
        </row>
        <row r="36">
          <cell r="T36">
            <v>1176538</v>
          </cell>
        </row>
        <row r="41">
          <cell r="N41">
            <v>6873</v>
          </cell>
          <cell r="R41">
            <v>7151</v>
          </cell>
          <cell r="T41">
            <v>6873</v>
          </cell>
        </row>
        <row r="42">
          <cell r="N42">
            <v>7149</v>
          </cell>
          <cell r="R42">
            <v>7438</v>
          </cell>
          <cell r="T42">
            <v>7149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458467</v>
          </cell>
          <cell r="R12">
            <v>477050</v>
          </cell>
        </row>
        <row r="15">
          <cell r="N15">
            <v>259825</v>
          </cell>
          <cell r="R15">
            <v>270356</v>
          </cell>
          <cell r="T15">
            <v>259825</v>
          </cell>
        </row>
        <row r="18">
          <cell r="N18">
            <v>96689</v>
          </cell>
          <cell r="R18">
            <v>100608</v>
          </cell>
          <cell r="T18">
            <v>96689</v>
          </cell>
        </row>
        <row r="19">
          <cell r="N19">
            <v>8326</v>
          </cell>
          <cell r="R19">
            <v>8664</v>
          </cell>
          <cell r="T19">
            <v>8326</v>
          </cell>
        </row>
        <row r="20">
          <cell r="N20">
            <v>18858</v>
          </cell>
          <cell r="R20">
            <v>19622</v>
          </cell>
          <cell r="T20">
            <v>18858</v>
          </cell>
        </row>
        <row r="26">
          <cell r="N26">
            <v>171584</v>
          </cell>
          <cell r="R26">
            <v>178538</v>
          </cell>
          <cell r="T26">
            <v>171584</v>
          </cell>
        </row>
        <row r="33">
          <cell r="N33">
            <v>453617</v>
          </cell>
          <cell r="R33">
            <v>472004</v>
          </cell>
        </row>
        <row r="36">
          <cell r="T36">
            <v>2339579</v>
          </cell>
        </row>
        <row r="41">
          <cell r="N41">
            <v>14785</v>
          </cell>
          <cell r="R41">
            <v>15384</v>
          </cell>
          <cell r="T41">
            <v>14785</v>
          </cell>
        </row>
        <row r="42">
          <cell r="N42">
            <v>15424</v>
          </cell>
          <cell r="R42">
            <v>16049</v>
          </cell>
          <cell r="T42">
            <v>15424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454982</v>
          </cell>
          <cell r="R12">
            <v>498652</v>
          </cell>
        </row>
        <row r="15">
          <cell r="N15">
            <v>262243</v>
          </cell>
          <cell r="R15">
            <v>287414</v>
          </cell>
          <cell r="T15">
            <v>262243</v>
          </cell>
        </row>
        <row r="18">
          <cell r="N18">
            <v>95653</v>
          </cell>
          <cell r="R18">
            <v>104834</v>
          </cell>
          <cell r="T18">
            <v>95653</v>
          </cell>
        </row>
        <row r="19">
          <cell r="N19">
            <v>8247</v>
          </cell>
          <cell r="R19">
            <v>9039</v>
          </cell>
          <cell r="T19">
            <v>8247</v>
          </cell>
        </row>
        <row r="20">
          <cell r="N20">
            <v>18530</v>
          </cell>
          <cell r="R20">
            <v>20308</v>
          </cell>
          <cell r="T20">
            <v>18530</v>
          </cell>
        </row>
        <row r="26">
          <cell r="N26">
            <v>168794</v>
          </cell>
          <cell r="R26">
            <v>184996</v>
          </cell>
          <cell r="T26">
            <v>168794</v>
          </cell>
        </row>
        <row r="33">
          <cell r="N33">
            <v>427628</v>
          </cell>
          <cell r="R33">
            <v>468673</v>
          </cell>
        </row>
        <row r="36">
          <cell r="T36">
            <v>2291754</v>
          </cell>
        </row>
        <row r="41">
          <cell r="N41">
            <v>14676</v>
          </cell>
          <cell r="R41">
            <v>16084</v>
          </cell>
          <cell r="T41">
            <v>14676</v>
          </cell>
        </row>
        <row r="42">
          <cell r="N42">
            <v>15292</v>
          </cell>
          <cell r="R42">
            <v>16760</v>
          </cell>
          <cell r="T42">
            <v>15292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222638</v>
          </cell>
          <cell r="R12">
            <v>275115</v>
          </cell>
          <cell r="U12">
            <v>190989</v>
          </cell>
        </row>
        <row r="15">
          <cell r="N15">
            <v>175934</v>
          </cell>
          <cell r="R15">
            <v>217402</v>
          </cell>
          <cell r="T15">
            <v>175934</v>
          </cell>
        </row>
        <row r="17">
          <cell r="N17">
            <v>65719</v>
          </cell>
          <cell r="R17">
            <v>81209</v>
          </cell>
        </row>
        <row r="18">
          <cell r="N18">
            <v>37127</v>
          </cell>
          <cell r="R18">
            <v>45878</v>
          </cell>
          <cell r="T18">
            <v>37127</v>
          </cell>
        </row>
        <row r="19">
          <cell r="N19">
            <v>2452</v>
          </cell>
          <cell r="R19">
            <v>3030</v>
          </cell>
          <cell r="T19">
            <v>2452</v>
          </cell>
        </row>
        <row r="20">
          <cell r="N20">
            <v>10508</v>
          </cell>
          <cell r="R20">
            <v>12984</v>
          </cell>
          <cell r="T20">
            <v>10508</v>
          </cell>
        </row>
        <row r="24">
          <cell r="N24">
            <v>49036</v>
          </cell>
          <cell r="R24">
            <v>60593</v>
          </cell>
        </row>
        <row r="25">
          <cell r="N25">
            <v>208737</v>
          </cell>
          <cell r="R25">
            <v>257937</v>
          </cell>
        </row>
        <row r="26">
          <cell r="N26">
            <v>98908</v>
          </cell>
          <cell r="R26">
            <v>122222</v>
          </cell>
          <cell r="T26">
            <v>98908</v>
          </cell>
        </row>
        <row r="33">
          <cell r="N33">
            <v>223594</v>
          </cell>
          <cell r="R33">
            <v>276296</v>
          </cell>
        </row>
        <row r="36">
          <cell r="T36">
            <v>1312244</v>
          </cell>
        </row>
        <row r="41">
          <cell r="N41">
            <v>3503</v>
          </cell>
          <cell r="R41">
            <v>4328</v>
          </cell>
          <cell r="T41">
            <v>3503</v>
          </cell>
        </row>
        <row r="42">
          <cell r="N42">
            <v>8057</v>
          </cell>
          <cell r="R42">
            <v>9956</v>
          </cell>
          <cell r="T42">
            <v>8057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550693</v>
          </cell>
          <cell r="R12">
            <v>606311</v>
          </cell>
        </row>
        <row r="15">
          <cell r="N15">
            <v>287362</v>
          </cell>
          <cell r="R15">
            <v>316384</v>
          </cell>
          <cell r="T15">
            <v>287362</v>
          </cell>
        </row>
        <row r="18">
          <cell r="N18">
            <v>91265</v>
          </cell>
          <cell r="R18">
            <v>100483</v>
          </cell>
          <cell r="T18">
            <v>91265</v>
          </cell>
        </row>
        <row r="19">
          <cell r="N19">
            <v>6028</v>
          </cell>
          <cell r="R19">
            <v>6637</v>
          </cell>
          <cell r="T19">
            <v>6028</v>
          </cell>
        </row>
        <row r="20">
          <cell r="N20">
            <v>25830</v>
          </cell>
          <cell r="R20">
            <v>28439</v>
          </cell>
          <cell r="T20">
            <v>25830</v>
          </cell>
        </row>
        <row r="24">
          <cell r="N24">
            <v>120539</v>
          </cell>
          <cell r="R24">
            <v>132714</v>
          </cell>
        </row>
        <row r="25">
          <cell r="N25">
            <v>396400</v>
          </cell>
          <cell r="R25">
            <v>436435</v>
          </cell>
        </row>
        <row r="26">
          <cell r="N26">
            <v>243106</v>
          </cell>
          <cell r="R26">
            <v>267659</v>
          </cell>
          <cell r="T26">
            <v>243106</v>
          </cell>
        </row>
        <row r="33">
          <cell r="N33">
            <v>533415</v>
          </cell>
          <cell r="R33">
            <v>587288</v>
          </cell>
        </row>
        <row r="36">
          <cell r="T36">
            <v>2724120</v>
          </cell>
        </row>
        <row r="41">
          <cell r="N41">
            <v>8610</v>
          </cell>
          <cell r="R41">
            <v>9480</v>
          </cell>
          <cell r="T41">
            <v>8610</v>
          </cell>
        </row>
        <row r="42">
          <cell r="N42">
            <v>19804</v>
          </cell>
          <cell r="R42">
            <v>21804</v>
          </cell>
          <cell r="T42">
            <v>19804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716065</v>
          </cell>
          <cell r="R12">
            <v>752655</v>
          </cell>
          <cell r="U12">
            <v>413914</v>
          </cell>
        </row>
        <row r="15">
          <cell r="N15">
            <v>241725</v>
          </cell>
          <cell r="R15">
            <v>254077</v>
          </cell>
          <cell r="T15">
            <v>241725</v>
          </cell>
        </row>
        <row r="18">
          <cell r="N18">
            <v>94510</v>
          </cell>
          <cell r="R18">
            <v>99339</v>
          </cell>
          <cell r="T18">
            <v>94510</v>
          </cell>
        </row>
        <row r="19">
          <cell r="N19">
            <v>8161</v>
          </cell>
          <cell r="R19">
            <v>8578</v>
          </cell>
          <cell r="T19">
            <v>8161</v>
          </cell>
        </row>
        <row r="20">
          <cell r="N20">
            <v>18163</v>
          </cell>
          <cell r="R20">
            <v>19091</v>
          </cell>
          <cell r="T20">
            <v>18163</v>
          </cell>
        </row>
        <row r="26">
          <cell r="N26">
            <v>165684</v>
          </cell>
          <cell r="R26">
            <v>174151</v>
          </cell>
          <cell r="T26">
            <v>165684</v>
          </cell>
        </row>
        <row r="33">
          <cell r="N33">
            <v>446241</v>
          </cell>
          <cell r="R33">
            <v>469043</v>
          </cell>
        </row>
        <row r="36">
          <cell r="T36">
            <v>2454589</v>
          </cell>
        </row>
        <row r="41">
          <cell r="N41">
            <v>14558</v>
          </cell>
          <cell r="R41">
            <v>15302</v>
          </cell>
          <cell r="T41">
            <v>14558</v>
          </cell>
        </row>
        <row r="42">
          <cell r="N42">
            <v>15148</v>
          </cell>
          <cell r="R42">
            <v>15922</v>
          </cell>
          <cell r="T42">
            <v>15148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451629</v>
          </cell>
          <cell r="R12">
            <v>450511</v>
          </cell>
        </row>
        <row r="15">
          <cell r="N15">
            <v>244174</v>
          </cell>
          <cell r="R15">
            <v>243570</v>
          </cell>
          <cell r="T15">
            <v>244174</v>
          </cell>
        </row>
        <row r="18">
          <cell r="N18">
            <v>98105</v>
          </cell>
          <cell r="R18">
            <v>97862</v>
          </cell>
          <cell r="T18">
            <v>98105</v>
          </cell>
        </row>
        <row r="19">
          <cell r="N19">
            <v>8478</v>
          </cell>
          <cell r="R19">
            <v>8457</v>
          </cell>
          <cell r="T19">
            <v>8478</v>
          </cell>
        </row>
        <row r="20">
          <cell r="N20">
            <v>18773</v>
          </cell>
          <cell r="R20">
            <v>18726</v>
          </cell>
          <cell r="T20">
            <v>18773</v>
          </cell>
        </row>
        <row r="26">
          <cell r="N26">
            <v>171381</v>
          </cell>
          <cell r="R26">
            <v>170957</v>
          </cell>
          <cell r="T26">
            <v>171381</v>
          </cell>
        </row>
        <row r="33">
          <cell r="N33">
            <v>370815</v>
          </cell>
          <cell r="R33">
            <v>369897</v>
          </cell>
        </row>
        <row r="36">
          <cell r="T36">
            <v>2135653</v>
          </cell>
        </row>
        <row r="41">
          <cell r="N41">
            <v>15143</v>
          </cell>
          <cell r="R41">
            <v>15105</v>
          </cell>
          <cell r="T41">
            <v>15143</v>
          </cell>
        </row>
        <row r="42">
          <cell r="N42">
            <v>15745</v>
          </cell>
          <cell r="R42">
            <v>15706</v>
          </cell>
          <cell r="T42">
            <v>15745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161149</v>
          </cell>
          <cell r="R12">
            <v>188559</v>
          </cell>
          <cell r="U12">
            <v>238308</v>
          </cell>
        </row>
        <row r="15">
          <cell r="T15">
            <v>82829</v>
          </cell>
        </row>
        <row r="18">
          <cell r="T18">
            <v>35665</v>
          </cell>
        </row>
        <row r="19">
          <cell r="T19">
            <v>3082</v>
          </cell>
        </row>
        <row r="20">
          <cell r="T20">
            <v>6825</v>
          </cell>
        </row>
        <row r="26">
          <cell r="T26">
            <v>62304</v>
          </cell>
        </row>
        <row r="33">
          <cell r="N33">
            <v>121697</v>
          </cell>
          <cell r="R33">
            <v>142396</v>
          </cell>
        </row>
        <row r="36">
          <cell r="T36">
            <v>871574</v>
          </cell>
        </row>
        <row r="41">
          <cell r="T41">
            <v>5505</v>
          </cell>
        </row>
        <row r="42">
          <cell r="T42">
            <v>5724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194914</v>
          </cell>
          <cell r="R12">
            <v>207548</v>
          </cell>
          <cell r="U12">
            <v>73205</v>
          </cell>
        </row>
        <row r="15">
          <cell r="N15">
            <v>106763</v>
          </cell>
          <cell r="R15">
            <v>113684</v>
          </cell>
          <cell r="T15">
            <v>106763</v>
          </cell>
        </row>
        <row r="18">
          <cell r="N18">
            <v>42022</v>
          </cell>
          <cell r="R18">
            <v>44746</v>
          </cell>
          <cell r="T18">
            <v>42022</v>
          </cell>
        </row>
        <row r="19">
          <cell r="N19">
            <v>3625</v>
          </cell>
          <cell r="R19">
            <v>3860</v>
          </cell>
          <cell r="T19">
            <v>3625</v>
          </cell>
        </row>
        <row r="20">
          <cell r="N20">
            <v>8117</v>
          </cell>
          <cell r="R20">
            <v>8643</v>
          </cell>
          <cell r="T20">
            <v>8117</v>
          </cell>
        </row>
        <row r="26">
          <cell r="N26">
            <v>73972</v>
          </cell>
          <cell r="R26">
            <v>78766</v>
          </cell>
          <cell r="T26">
            <v>73972</v>
          </cell>
        </row>
        <row r="33">
          <cell r="N33">
            <v>159634</v>
          </cell>
          <cell r="R33">
            <v>169982</v>
          </cell>
        </row>
        <row r="36">
          <cell r="T36">
            <v>1001582</v>
          </cell>
        </row>
        <row r="41">
          <cell r="N41">
            <v>6457</v>
          </cell>
          <cell r="R41">
            <v>6876</v>
          </cell>
          <cell r="T41">
            <v>6457</v>
          </cell>
        </row>
        <row r="42">
          <cell r="N42">
            <v>6725</v>
          </cell>
          <cell r="R42">
            <v>7161</v>
          </cell>
          <cell r="T42">
            <v>6725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446760</v>
          </cell>
          <cell r="R12">
            <v>496846</v>
          </cell>
        </row>
        <row r="15">
          <cell r="N15">
            <v>242962</v>
          </cell>
          <cell r="R15">
            <v>270201</v>
          </cell>
          <cell r="T15">
            <v>242962</v>
          </cell>
        </row>
        <row r="18">
          <cell r="N18">
            <v>96680</v>
          </cell>
          <cell r="R18">
            <v>107519</v>
          </cell>
          <cell r="T18">
            <v>96680</v>
          </cell>
        </row>
        <row r="19">
          <cell r="N19">
            <v>8348</v>
          </cell>
          <cell r="R19">
            <v>9284</v>
          </cell>
          <cell r="T19">
            <v>8348</v>
          </cell>
        </row>
        <row r="20">
          <cell r="N20">
            <v>18572</v>
          </cell>
          <cell r="R20">
            <v>20654</v>
          </cell>
          <cell r="T20">
            <v>18572</v>
          </cell>
        </row>
        <row r="26">
          <cell r="N26">
            <v>169559</v>
          </cell>
          <cell r="R26">
            <v>188568</v>
          </cell>
          <cell r="T26">
            <v>169559</v>
          </cell>
        </row>
        <row r="33">
          <cell r="N33">
            <v>444017</v>
          </cell>
          <cell r="R33">
            <v>493795</v>
          </cell>
        </row>
        <row r="36">
          <cell r="T36">
            <v>2282972</v>
          </cell>
        </row>
        <row r="41">
          <cell r="N41">
            <v>14895</v>
          </cell>
          <cell r="R41">
            <v>16565</v>
          </cell>
          <cell r="T41">
            <v>14895</v>
          </cell>
        </row>
        <row r="42">
          <cell r="N42">
            <v>15499</v>
          </cell>
          <cell r="R42">
            <v>17236</v>
          </cell>
          <cell r="T42">
            <v>15499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198780</v>
          </cell>
          <cell r="R12">
            <v>208805</v>
          </cell>
        </row>
        <row r="15">
          <cell r="N15">
            <v>105782</v>
          </cell>
          <cell r="R15">
            <v>111117</v>
          </cell>
          <cell r="T15">
            <v>105782</v>
          </cell>
        </row>
        <row r="18">
          <cell r="N18">
            <v>43469</v>
          </cell>
          <cell r="R18">
            <v>45662</v>
          </cell>
          <cell r="T18">
            <v>43469</v>
          </cell>
        </row>
        <row r="19">
          <cell r="N19">
            <v>3757</v>
          </cell>
          <cell r="R19">
            <v>3946</v>
          </cell>
          <cell r="T19">
            <v>3757</v>
          </cell>
        </row>
        <row r="20">
          <cell r="N20">
            <v>8318</v>
          </cell>
          <cell r="R20">
            <v>8737</v>
          </cell>
          <cell r="T20">
            <v>8318</v>
          </cell>
        </row>
        <row r="26">
          <cell r="N26">
            <v>75937</v>
          </cell>
          <cell r="R26">
            <v>79766</v>
          </cell>
          <cell r="T26">
            <v>75937</v>
          </cell>
        </row>
        <row r="33">
          <cell r="N33">
            <v>144845</v>
          </cell>
          <cell r="R33">
            <v>152150</v>
          </cell>
        </row>
        <row r="36">
          <cell r="T36">
            <v>992719</v>
          </cell>
        </row>
        <row r="41">
          <cell r="N41">
            <v>6710</v>
          </cell>
          <cell r="R41">
            <v>7048</v>
          </cell>
          <cell r="T41">
            <v>6710</v>
          </cell>
        </row>
        <row r="42">
          <cell r="N42">
            <v>6977</v>
          </cell>
          <cell r="R42">
            <v>7328</v>
          </cell>
          <cell r="T42">
            <v>6977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455252</v>
          </cell>
          <cell r="R12">
            <v>490425</v>
          </cell>
        </row>
        <row r="15">
          <cell r="N15">
            <v>264666</v>
          </cell>
          <cell r="R15">
            <v>285115</v>
          </cell>
          <cell r="T15">
            <v>264666</v>
          </cell>
        </row>
        <row r="18">
          <cell r="N18">
            <v>95022</v>
          </cell>
          <cell r="R18">
            <v>102363</v>
          </cell>
          <cell r="T18">
            <v>95022</v>
          </cell>
        </row>
        <row r="19">
          <cell r="N19">
            <v>8184</v>
          </cell>
          <cell r="R19">
            <v>8817</v>
          </cell>
          <cell r="T19">
            <v>8184</v>
          </cell>
        </row>
        <row r="20">
          <cell r="N20">
            <v>18497</v>
          </cell>
          <cell r="R20">
            <v>19926</v>
          </cell>
          <cell r="T20">
            <v>18497</v>
          </cell>
        </row>
        <row r="26">
          <cell r="N26">
            <v>168353</v>
          </cell>
          <cell r="R26">
            <v>181361</v>
          </cell>
          <cell r="T26">
            <v>168353</v>
          </cell>
        </row>
        <row r="33">
          <cell r="N33">
            <v>402581</v>
          </cell>
          <cell r="R33">
            <v>433685</v>
          </cell>
        </row>
        <row r="36">
          <cell r="T36">
            <v>2245243</v>
          </cell>
        </row>
        <row r="41">
          <cell r="N41">
            <v>14545</v>
          </cell>
          <cell r="R41">
            <v>15669</v>
          </cell>
          <cell r="T41">
            <v>14545</v>
          </cell>
        </row>
        <row r="42">
          <cell r="N42">
            <v>15169</v>
          </cell>
          <cell r="R42">
            <v>16341</v>
          </cell>
          <cell r="T42">
            <v>15169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205436</v>
          </cell>
          <cell r="R12">
            <v>208095</v>
          </cell>
          <cell r="U12">
            <v>149838</v>
          </cell>
        </row>
        <row r="15">
          <cell r="N15">
            <v>104963</v>
          </cell>
          <cell r="R15">
            <v>106321</v>
          </cell>
          <cell r="T15">
            <v>104963</v>
          </cell>
        </row>
        <row r="18">
          <cell r="N18">
            <v>45667</v>
          </cell>
          <cell r="R18">
            <v>46258</v>
          </cell>
          <cell r="T18">
            <v>45667</v>
          </cell>
        </row>
        <row r="19">
          <cell r="N19">
            <v>3940</v>
          </cell>
          <cell r="R19">
            <v>3991</v>
          </cell>
          <cell r="T19">
            <v>3940</v>
          </cell>
        </row>
        <row r="20">
          <cell r="N20">
            <v>8816</v>
          </cell>
          <cell r="R20">
            <v>8930</v>
          </cell>
          <cell r="T20">
            <v>8816</v>
          </cell>
        </row>
        <row r="26">
          <cell r="N26">
            <v>80360</v>
          </cell>
          <cell r="R26">
            <v>81400</v>
          </cell>
          <cell r="T26">
            <v>80360</v>
          </cell>
        </row>
        <row r="33">
          <cell r="N33">
            <v>229323</v>
          </cell>
          <cell r="R33">
            <v>232290</v>
          </cell>
        </row>
        <row r="36">
          <cell r="T36">
            <v>1135353</v>
          </cell>
        </row>
        <row r="41">
          <cell r="N41">
            <v>7019</v>
          </cell>
          <cell r="R41">
            <v>7109</v>
          </cell>
          <cell r="T41">
            <v>7019</v>
          </cell>
        </row>
        <row r="42">
          <cell r="N42">
            <v>7309</v>
          </cell>
          <cell r="R42">
            <v>7403</v>
          </cell>
          <cell r="T42">
            <v>7309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205248</v>
          </cell>
          <cell r="R12">
            <v>201683</v>
          </cell>
          <cell r="U12">
            <v>61018</v>
          </cell>
        </row>
        <row r="15">
          <cell r="N15">
            <v>99571</v>
          </cell>
          <cell r="R15">
            <v>97842</v>
          </cell>
          <cell r="T15">
            <v>99571</v>
          </cell>
        </row>
        <row r="18">
          <cell r="N18">
            <v>46718</v>
          </cell>
          <cell r="R18">
            <v>45906</v>
          </cell>
          <cell r="T18">
            <v>46718</v>
          </cell>
        </row>
        <row r="19">
          <cell r="N19">
            <v>4037</v>
          </cell>
          <cell r="R19">
            <v>3967</v>
          </cell>
          <cell r="T19">
            <v>4037</v>
          </cell>
        </row>
        <row r="20">
          <cell r="N20">
            <v>8940</v>
          </cell>
          <cell r="R20">
            <v>8785</v>
          </cell>
          <cell r="T20">
            <v>8940</v>
          </cell>
        </row>
        <row r="26">
          <cell r="N26">
            <v>81611</v>
          </cell>
          <cell r="R26">
            <v>80193</v>
          </cell>
          <cell r="T26">
            <v>81611</v>
          </cell>
        </row>
        <row r="33">
          <cell r="N33">
            <v>202808</v>
          </cell>
          <cell r="R33">
            <v>199286</v>
          </cell>
        </row>
        <row r="36">
          <cell r="T36">
            <v>1061305</v>
          </cell>
        </row>
        <row r="41">
          <cell r="N41">
            <v>7211</v>
          </cell>
          <cell r="R41">
            <v>7086</v>
          </cell>
          <cell r="T41">
            <v>7211</v>
          </cell>
        </row>
        <row r="42">
          <cell r="N42">
            <v>7498</v>
          </cell>
          <cell r="R42">
            <v>7367</v>
          </cell>
          <cell r="T42">
            <v>7498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452100</v>
          </cell>
          <cell r="R12">
            <v>458364</v>
          </cell>
        </row>
        <row r="15">
          <cell r="N15">
            <v>246736</v>
          </cell>
          <cell r="R15">
            <v>250154</v>
          </cell>
          <cell r="T15">
            <v>246736</v>
          </cell>
        </row>
        <row r="18">
          <cell r="N18">
            <v>96936</v>
          </cell>
          <cell r="R18">
            <v>98279</v>
          </cell>
          <cell r="T18">
            <v>96936</v>
          </cell>
        </row>
        <row r="19">
          <cell r="N19">
            <v>8348</v>
          </cell>
          <cell r="R19">
            <v>8463</v>
          </cell>
          <cell r="T19">
            <v>8348</v>
          </cell>
        </row>
        <row r="20">
          <cell r="N20">
            <v>18896</v>
          </cell>
          <cell r="R20">
            <v>19158</v>
          </cell>
          <cell r="T20">
            <v>18896</v>
          </cell>
        </row>
        <row r="26">
          <cell r="N26">
            <v>172024</v>
          </cell>
          <cell r="R26">
            <v>174408</v>
          </cell>
          <cell r="T26">
            <v>172024</v>
          </cell>
        </row>
        <row r="33">
          <cell r="N33">
            <v>442023</v>
          </cell>
          <cell r="R33">
            <v>448148</v>
          </cell>
        </row>
        <row r="36">
          <cell r="T36">
            <v>2185531</v>
          </cell>
        </row>
        <row r="41">
          <cell r="N41">
            <v>14827</v>
          </cell>
          <cell r="R41">
            <v>15033</v>
          </cell>
          <cell r="T41">
            <v>14827</v>
          </cell>
        </row>
        <row r="42">
          <cell r="N42">
            <v>15475</v>
          </cell>
          <cell r="R42">
            <v>15689</v>
          </cell>
          <cell r="T42">
            <v>15475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202857</v>
          </cell>
          <cell r="R12">
            <v>225415</v>
          </cell>
        </row>
        <row r="15">
          <cell r="N15">
            <v>109470</v>
          </cell>
          <cell r="R15">
            <v>121643</v>
          </cell>
          <cell r="T15">
            <v>109470</v>
          </cell>
        </row>
        <row r="18">
          <cell r="N18">
            <v>44017</v>
          </cell>
          <cell r="R18">
            <v>48912</v>
          </cell>
          <cell r="T18">
            <v>44017</v>
          </cell>
        </row>
        <row r="19">
          <cell r="N19">
            <v>3793</v>
          </cell>
          <cell r="R19">
            <v>4215</v>
          </cell>
          <cell r="T19">
            <v>3793</v>
          </cell>
        </row>
        <row r="20">
          <cell r="N20">
            <v>8546</v>
          </cell>
          <cell r="R20">
            <v>9497</v>
          </cell>
          <cell r="T20">
            <v>8546</v>
          </cell>
        </row>
        <row r="26">
          <cell r="N26">
            <v>77819</v>
          </cell>
          <cell r="R26">
            <v>86473</v>
          </cell>
          <cell r="T26">
            <v>77819</v>
          </cell>
        </row>
        <row r="33">
          <cell r="N33">
            <v>211458</v>
          </cell>
          <cell r="R33">
            <v>234972</v>
          </cell>
        </row>
        <row r="36">
          <cell r="T36">
            <v>1057210</v>
          </cell>
        </row>
        <row r="41">
          <cell r="N41">
            <v>6746</v>
          </cell>
          <cell r="R41">
            <v>7496</v>
          </cell>
          <cell r="T41">
            <v>6746</v>
          </cell>
        </row>
        <row r="42">
          <cell r="N42">
            <v>7032</v>
          </cell>
          <cell r="R42">
            <v>7814</v>
          </cell>
          <cell r="T42">
            <v>7032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425452</v>
          </cell>
          <cell r="R12">
            <v>463411</v>
          </cell>
          <cell r="U12">
            <v>171819</v>
          </cell>
        </row>
        <row r="15">
          <cell r="N15">
            <v>215886</v>
          </cell>
          <cell r="R15">
            <v>235147</v>
          </cell>
          <cell r="T15">
            <v>215886</v>
          </cell>
        </row>
        <row r="18">
          <cell r="N18">
            <v>93461</v>
          </cell>
          <cell r="R18">
            <v>101800</v>
          </cell>
          <cell r="T18">
            <v>93461</v>
          </cell>
        </row>
        <row r="19">
          <cell r="N19">
            <v>8067</v>
          </cell>
          <cell r="R19">
            <v>8787</v>
          </cell>
          <cell r="T19">
            <v>8067</v>
          </cell>
        </row>
        <row r="20">
          <cell r="N20">
            <v>18005</v>
          </cell>
          <cell r="R20">
            <v>19611</v>
          </cell>
          <cell r="T20">
            <v>18005</v>
          </cell>
        </row>
        <row r="26">
          <cell r="N26">
            <v>164163</v>
          </cell>
          <cell r="R26">
            <v>178810</v>
          </cell>
          <cell r="T26">
            <v>164163</v>
          </cell>
        </row>
        <row r="33">
          <cell r="N33">
            <v>338093</v>
          </cell>
          <cell r="R33">
            <v>368258</v>
          </cell>
        </row>
        <row r="36">
          <cell r="T36">
            <v>2470339</v>
          </cell>
        </row>
        <row r="41">
          <cell r="N41">
            <v>14380</v>
          </cell>
          <cell r="R41">
            <v>15663</v>
          </cell>
          <cell r="T41">
            <v>14380</v>
          </cell>
        </row>
        <row r="42">
          <cell r="N42">
            <v>14969</v>
          </cell>
          <cell r="R42">
            <v>16304</v>
          </cell>
          <cell r="T42">
            <v>14969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359908</v>
          </cell>
          <cell r="R12">
            <v>356047</v>
          </cell>
          <cell r="U12">
            <v>104547</v>
          </cell>
        </row>
        <row r="15">
          <cell r="N15">
            <v>185035</v>
          </cell>
          <cell r="R15">
            <v>183050</v>
          </cell>
          <cell r="T15">
            <v>185035</v>
          </cell>
        </row>
        <row r="18">
          <cell r="N18">
            <v>75274</v>
          </cell>
          <cell r="R18">
            <v>74466</v>
          </cell>
          <cell r="T18">
            <v>75274</v>
          </cell>
        </row>
        <row r="19">
          <cell r="N19">
            <v>6498</v>
          </cell>
          <cell r="R19">
            <v>6429</v>
          </cell>
          <cell r="T19">
            <v>6498</v>
          </cell>
        </row>
        <row r="20">
          <cell r="N20">
            <v>14482</v>
          </cell>
          <cell r="R20">
            <v>14327</v>
          </cell>
          <cell r="T20">
            <v>14482</v>
          </cell>
        </row>
        <row r="26">
          <cell r="N26">
            <v>132074</v>
          </cell>
          <cell r="R26">
            <v>130657</v>
          </cell>
          <cell r="T26">
            <v>132074</v>
          </cell>
        </row>
        <row r="33">
          <cell r="N33">
            <v>299121</v>
          </cell>
          <cell r="R33">
            <v>295913</v>
          </cell>
        </row>
        <row r="36">
          <cell r="T36">
            <v>1833441</v>
          </cell>
        </row>
        <row r="41">
          <cell r="N41">
            <v>11589</v>
          </cell>
          <cell r="R41">
            <v>11464</v>
          </cell>
          <cell r="T41">
            <v>11589</v>
          </cell>
        </row>
        <row r="42">
          <cell r="N42">
            <v>12061</v>
          </cell>
          <cell r="R42">
            <v>11932</v>
          </cell>
          <cell r="T42">
            <v>12061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250909</v>
          </cell>
          <cell r="R12">
            <v>278584</v>
          </cell>
          <cell r="U12">
            <v>214595</v>
          </cell>
        </row>
        <row r="15">
          <cell r="N15">
            <v>135991</v>
          </cell>
          <cell r="R15">
            <v>150990</v>
          </cell>
          <cell r="T15">
            <v>135991</v>
          </cell>
        </row>
        <row r="17">
          <cell r="N17">
            <v>56164</v>
          </cell>
          <cell r="R17">
            <v>62359</v>
          </cell>
        </row>
        <row r="18">
          <cell r="N18">
            <v>38654</v>
          </cell>
          <cell r="R18">
            <v>42918</v>
          </cell>
          <cell r="T18">
            <v>38654</v>
          </cell>
        </row>
        <row r="19">
          <cell r="N19">
            <v>2553</v>
          </cell>
          <cell r="R19">
            <v>2835</v>
          </cell>
          <cell r="T19">
            <v>2553</v>
          </cell>
        </row>
        <row r="20">
          <cell r="N20">
            <v>10940</v>
          </cell>
          <cell r="R20">
            <v>12147</v>
          </cell>
          <cell r="T20">
            <v>10940</v>
          </cell>
        </row>
        <row r="24">
          <cell r="N24">
            <v>51054</v>
          </cell>
          <cell r="R24">
            <v>56685</v>
          </cell>
        </row>
        <row r="25">
          <cell r="N25">
            <v>217890</v>
          </cell>
          <cell r="R25">
            <v>241924</v>
          </cell>
        </row>
        <row r="26">
          <cell r="N26">
            <v>103202</v>
          </cell>
          <cell r="R26">
            <v>114586</v>
          </cell>
          <cell r="T26">
            <v>103202</v>
          </cell>
        </row>
        <row r="33">
          <cell r="N33">
            <v>235125</v>
          </cell>
          <cell r="R33">
            <v>261059</v>
          </cell>
        </row>
        <row r="36">
          <cell r="T36">
            <v>1273432</v>
          </cell>
        </row>
        <row r="41">
          <cell r="N41">
            <v>3647</v>
          </cell>
          <cell r="R41">
            <v>4049</v>
          </cell>
          <cell r="T41">
            <v>3647</v>
          </cell>
        </row>
        <row r="42">
          <cell r="N42">
            <v>8389</v>
          </cell>
          <cell r="R42">
            <v>9314</v>
          </cell>
          <cell r="T42">
            <v>8389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431988</v>
          </cell>
          <cell r="R12">
            <v>477438</v>
          </cell>
        </row>
        <row r="15">
          <cell r="N15">
            <v>217203</v>
          </cell>
          <cell r="R15">
            <v>240055</v>
          </cell>
          <cell r="T15">
            <v>217203</v>
          </cell>
        </row>
        <row r="18">
          <cell r="N18">
            <v>93081</v>
          </cell>
          <cell r="R18">
            <v>102874</v>
          </cell>
          <cell r="T18">
            <v>93081</v>
          </cell>
        </row>
        <row r="19">
          <cell r="N19">
            <v>8044</v>
          </cell>
          <cell r="R19">
            <v>8890</v>
          </cell>
          <cell r="T19">
            <v>8044</v>
          </cell>
        </row>
        <row r="20">
          <cell r="N20">
            <v>17812</v>
          </cell>
          <cell r="R20">
            <v>19686</v>
          </cell>
          <cell r="T20">
            <v>17812</v>
          </cell>
        </row>
        <row r="26">
          <cell r="N26">
            <v>162691</v>
          </cell>
          <cell r="R26">
            <v>179808</v>
          </cell>
          <cell r="T26">
            <v>162691</v>
          </cell>
        </row>
        <row r="33">
          <cell r="N33">
            <v>445929</v>
          </cell>
          <cell r="R33">
            <v>492845</v>
          </cell>
        </row>
        <row r="36">
          <cell r="T36">
            <v>2548771</v>
          </cell>
        </row>
        <row r="41">
          <cell r="N41">
            <v>14367</v>
          </cell>
          <cell r="R41">
            <v>15878</v>
          </cell>
          <cell r="T41">
            <v>14367</v>
          </cell>
        </row>
        <row r="42">
          <cell r="N42">
            <v>14947</v>
          </cell>
          <cell r="R42">
            <v>16520</v>
          </cell>
          <cell r="T42">
            <v>14947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369655</v>
          </cell>
          <cell r="R12">
            <v>406512</v>
          </cell>
          <cell r="U12">
            <v>253797</v>
          </cell>
        </row>
        <row r="15">
          <cell r="N15">
            <v>177324</v>
          </cell>
          <cell r="R15">
            <v>195005</v>
          </cell>
          <cell r="T15">
            <v>177324</v>
          </cell>
        </row>
        <row r="17">
          <cell r="N17">
            <v>107677</v>
          </cell>
          <cell r="R17">
            <v>118413</v>
          </cell>
        </row>
        <row r="18">
          <cell r="N18">
            <v>58834</v>
          </cell>
          <cell r="R18">
            <v>64700</v>
          </cell>
          <cell r="T18">
            <v>58834</v>
          </cell>
        </row>
        <row r="19">
          <cell r="N19">
            <v>3886</v>
          </cell>
          <cell r="R19">
            <v>4274</v>
          </cell>
          <cell r="T19">
            <v>3886</v>
          </cell>
        </row>
        <row r="20">
          <cell r="N20">
            <v>16651</v>
          </cell>
          <cell r="R20">
            <v>18311</v>
          </cell>
          <cell r="T20">
            <v>16651</v>
          </cell>
        </row>
        <row r="24">
          <cell r="N24">
            <v>77705</v>
          </cell>
          <cell r="R24">
            <v>85453</v>
          </cell>
        </row>
        <row r="25">
          <cell r="N25">
            <v>273527</v>
          </cell>
          <cell r="R25">
            <v>300799</v>
          </cell>
        </row>
        <row r="26">
          <cell r="N26">
            <v>156715</v>
          </cell>
          <cell r="R26">
            <v>172341</v>
          </cell>
          <cell r="T26">
            <v>156715</v>
          </cell>
        </row>
        <row r="33">
          <cell r="N33">
            <v>393594</v>
          </cell>
          <cell r="R33">
            <v>432838</v>
          </cell>
        </row>
        <row r="36">
          <cell r="T36">
            <v>2741132</v>
          </cell>
        </row>
        <row r="41">
          <cell r="N41">
            <v>5550</v>
          </cell>
          <cell r="R41">
            <v>6104</v>
          </cell>
          <cell r="T41">
            <v>5550</v>
          </cell>
        </row>
        <row r="42">
          <cell r="N42">
            <v>12766</v>
          </cell>
          <cell r="R42">
            <v>14039</v>
          </cell>
          <cell r="T42">
            <v>12766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189514</v>
          </cell>
          <cell r="R12">
            <v>222352</v>
          </cell>
          <cell r="U12">
            <v>100768</v>
          </cell>
        </row>
        <row r="15">
          <cell r="N15">
            <v>92092</v>
          </cell>
          <cell r="R15">
            <v>108049</v>
          </cell>
          <cell r="T15">
            <v>92092</v>
          </cell>
        </row>
        <row r="18">
          <cell r="N18">
            <v>42008</v>
          </cell>
          <cell r="R18">
            <v>49287</v>
          </cell>
          <cell r="T18">
            <v>42008</v>
          </cell>
        </row>
        <row r="19">
          <cell r="N19">
            <v>3623</v>
          </cell>
          <cell r="R19">
            <v>4251</v>
          </cell>
          <cell r="T19">
            <v>3623</v>
          </cell>
        </row>
        <row r="20">
          <cell r="N20">
            <v>8119</v>
          </cell>
          <cell r="R20">
            <v>9526</v>
          </cell>
          <cell r="T20">
            <v>8119</v>
          </cell>
        </row>
        <row r="26">
          <cell r="N26">
            <v>73989</v>
          </cell>
          <cell r="R26">
            <v>86810</v>
          </cell>
          <cell r="T26">
            <v>73989</v>
          </cell>
        </row>
        <row r="33">
          <cell r="N33">
            <v>153747</v>
          </cell>
          <cell r="R33">
            <v>180387</v>
          </cell>
        </row>
        <row r="36">
          <cell r="T36">
            <v>1151831</v>
          </cell>
        </row>
        <row r="41">
          <cell r="N41">
            <v>6453</v>
          </cell>
          <cell r="R41">
            <v>7571</v>
          </cell>
          <cell r="T41">
            <v>6453</v>
          </cell>
        </row>
        <row r="42">
          <cell r="N42">
            <v>6722</v>
          </cell>
          <cell r="R42">
            <v>7886</v>
          </cell>
          <cell r="T42">
            <v>6722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195419</v>
          </cell>
          <cell r="R12">
            <v>194418</v>
          </cell>
          <cell r="U12">
            <v>147617</v>
          </cell>
        </row>
        <row r="15">
          <cell r="N15">
            <v>94188</v>
          </cell>
          <cell r="R15">
            <v>93706</v>
          </cell>
          <cell r="T15">
            <v>94188</v>
          </cell>
        </row>
        <row r="18">
          <cell r="N18">
            <v>44083</v>
          </cell>
          <cell r="R18">
            <v>43858</v>
          </cell>
          <cell r="T18">
            <v>44083</v>
          </cell>
        </row>
        <row r="19">
          <cell r="N19">
            <v>3810</v>
          </cell>
          <cell r="R19">
            <v>3790</v>
          </cell>
          <cell r="T19">
            <v>3810</v>
          </cell>
        </row>
        <row r="20">
          <cell r="N20">
            <v>8436</v>
          </cell>
          <cell r="R20">
            <v>8393</v>
          </cell>
          <cell r="T20">
            <v>8436</v>
          </cell>
        </row>
        <row r="26">
          <cell r="N26">
            <v>77010</v>
          </cell>
          <cell r="R26">
            <v>76616</v>
          </cell>
          <cell r="T26">
            <v>77010</v>
          </cell>
        </row>
        <row r="33">
          <cell r="N33">
            <v>205621</v>
          </cell>
          <cell r="R33">
            <v>204568</v>
          </cell>
        </row>
        <row r="36">
          <cell r="T36">
            <v>1397730</v>
          </cell>
        </row>
        <row r="41">
          <cell r="N41">
            <v>6805</v>
          </cell>
          <cell r="R41">
            <v>6770</v>
          </cell>
          <cell r="T41">
            <v>6805</v>
          </cell>
        </row>
        <row r="42">
          <cell r="N42">
            <v>7075</v>
          </cell>
          <cell r="R42">
            <v>7039</v>
          </cell>
          <cell r="T42">
            <v>7075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191148</v>
          </cell>
          <cell r="R12">
            <v>215753</v>
          </cell>
          <cell r="U12">
            <v>219837</v>
          </cell>
        </row>
        <row r="15">
          <cell r="N15">
            <v>95593</v>
          </cell>
          <cell r="R15">
            <v>107897</v>
          </cell>
          <cell r="T15">
            <v>95593</v>
          </cell>
        </row>
        <row r="18">
          <cell r="N18">
            <v>42370</v>
          </cell>
          <cell r="R18">
            <v>47823</v>
          </cell>
          <cell r="T18">
            <v>42370</v>
          </cell>
        </row>
        <row r="19">
          <cell r="N19">
            <v>3656</v>
          </cell>
          <cell r="R19">
            <v>4127</v>
          </cell>
          <cell r="T19">
            <v>3656</v>
          </cell>
        </row>
        <row r="20">
          <cell r="N20">
            <v>8178</v>
          </cell>
          <cell r="R20">
            <v>9231</v>
          </cell>
          <cell r="T20">
            <v>8178</v>
          </cell>
        </row>
        <row r="26">
          <cell r="N26">
            <v>74549</v>
          </cell>
          <cell r="R26">
            <v>84145</v>
          </cell>
          <cell r="T26">
            <v>74549</v>
          </cell>
        </row>
        <row r="33">
          <cell r="N33">
            <v>192560</v>
          </cell>
          <cell r="R33">
            <v>217346</v>
          </cell>
        </row>
        <row r="36">
          <cell r="T36">
            <v>1297107</v>
          </cell>
        </row>
        <row r="41">
          <cell r="N41">
            <v>6512</v>
          </cell>
          <cell r="R41">
            <v>7350</v>
          </cell>
          <cell r="T41">
            <v>6512</v>
          </cell>
        </row>
        <row r="42">
          <cell r="N42">
            <v>6781</v>
          </cell>
          <cell r="R42">
            <v>7654</v>
          </cell>
          <cell r="T42">
            <v>6781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252975</v>
          </cell>
          <cell r="R12">
            <v>272853</v>
          </cell>
        </row>
        <row r="15">
          <cell r="N15">
            <v>141237</v>
          </cell>
          <cell r="R15">
            <v>152335</v>
          </cell>
          <cell r="T15">
            <v>141237</v>
          </cell>
        </row>
        <row r="17">
          <cell r="N17" t="str">
            <v> </v>
          </cell>
          <cell r="R17" t="str">
            <v> </v>
          </cell>
        </row>
        <row r="18">
          <cell r="N18">
            <v>41269</v>
          </cell>
          <cell r="R18">
            <v>44512</v>
          </cell>
          <cell r="T18">
            <v>41269</v>
          </cell>
        </row>
        <row r="19">
          <cell r="N19">
            <v>2710</v>
          </cell>
          <cell r="R19">
            <v>2923</v>
          </cell>
          <cell r="T19">
            <v>2710</v>
          </cell>
        </row>
        <row r="20">
          <cell r="N20">
            <v>11680</v>
          </cell>
          <cell r="R20">
            <v>12598</v>
          </cell>
          <cell r="T20">
            <v>11680</v>
          </cell>
        </row>
        <row r="24">
          <cell r="N24">
            <v>54454</v>
          </cell>
          <cell r="R24">
            <v>58733</v>
          </cell>
        </row>
        <row r="25">
          <cell r="N25">
            <v>185742</v>
          </cell>
          <cell r="R25">
            <v>200337</v>
          </cell>
          <cell r="T25">
            <v>185742</v>
          </cell>
        </row>
        <row r="26">
          <cell r="N26">
            <v>110085</v>
          </cell>
          <cell r="R26">
            <v>118736</v>
          </cell>
          <cell r="T26">
            <v>110085</v>
          </cell>
        </row>
        <row r="33">
          <cell r="N33">
            <v>260042</v>
          </cell>
          <cell r="R33">
            <v>280475</v>
          </cell>
        </row>
        <row r="36">
          <cell r="N36">
            <v>1493195</v>
          </cell>
          <cell r="T36">
            <v>1414526</v>
          </cell>
        </row>
        <row r="41">
          <cell r="N41">
            <v>3867</v>
          </cell>
          <cell r="R41">
            <v>4171</v>
          </cell>
          <cell r="T41">
            <v>3867</v>
          </cell>
        </row>
        <row r="42">
          <cell r="N42">
            <v>8898</v>
          </cell>
          <cell r="R42">
            <v>9597</v>
          </cell>
          <cell r="T42">
            <v>8898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150788</v>
          </cell>
          <cell r="R12">
            <v>154775</v>
          </cell>
        </row>
        <row r="15">
          <cell r="N15">
            <v>80472</v>
          </cell>
          <cell r="R15">
            <v>82600</v>
          </cell>
          <cell r="T15">
            <v>80472</v>
          </cell>
        </row>
        <row r="17">
          <cell r="N17">
            <v>42041</v>
          </cell>
          <cell r="R17">
            <v>43153</v>
          </cell>
        </row>
        <row r="18">
          <cell r="N18">
            <v>24576</v>
          </cell>
          <cell r="R18">
            <v>25226</v>
          </cell>
          <cell r="T18">
            <v>24576</v>
          </cell>
        </row>
        <row r="19">
          <cell r="N19">
            <v>1623</v>
          </cell>
          <cell r="R19">
            <v>1666</v>
          </cell>
          <cell r="T19">
            <v>1623</v>
          </cell>
        </row>
        <row r="20">
          <cell r="N20">
            <v>6955</v>
          </cell>
          <cell r="R20">
            <v>7139</v>
          </cell>
          <cell r="T20">
            <v>6955</v>
          </cell>
        </row>
        <row r="24">
          <cell r="N24">
            <v>32459</v>
          </cell>
          <cell r="R24">
            <v>33317</v>
          </cell>
        </row>
        <row r="25">
          <cell r="N25">
            <v>126020</v>
          </cell>
          <cell r="R25">
            <v>129353</v>
          </cell>
        </row>
        <row r="26">
          <cell r="N26">
            <v>65614</v>
          </cell>
          <cell r="R26">
            <v>67349</v>
          </cell>
          <cell r="T26">
            <v>65614</v>
          </cell>
        </row>
        <row r="33">
          <cell r="N33">
            <v>143655</v>
          </cell>
          <cell r="R33">
            <v>147454</v>
          </cell>
        </row>
        <row r="36">
          <cell r="N36">
            <v>699831</v>
          </cell>
          <cell r="T36">
            <v>994121</v>
          </cell>
        </row>
        <row r="41">
          <cell r="N41">
            <v>2318</v>
          </cell>
          <cell r="R41">
            <v>2380</v>
          </cell>
          <cell r="T41">
            <v>2318</v>
          </cell>
        </row>
        <row r="42">
          <cell r="N42">
            <v>5333</v>
          </cell>
          <cell r="R42">
            <v>5474</v>
          </cell>
          <cell r="T42">
            <v>5333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385024</v>
          </cell>
          <cell r="R12">
            <v>422553</v>
          </cell>
          <cell r="U12">
            <v>125813</v>
          </cell>
        </row>
        <row r="15">
          <cell r="N15">
            <v>203074</v>
          </cell>
          <cell r="R15">
            <v>222869</v>
          </cell>
          <cell r="T15">
            <v>203074</v>
          </cell>
        </row>
        <row r="18">
          <cell r="N18">
            <v>63257</v>
          </cell>
          <cell r="R18">
            <v>69423</v>
          </cell>
        </row>
        <row r="19">
          <cell r="N19">
            <v>4177</v>
          </cell>
          <cell r="R19">
            <v>4584</v>
          </cell>
          <cell r="T19">
            <v>4177</v>
          </cell>
        </row>
        <row r="20">
          <cell r="N20">
            <v>17903</v>
          </cell>
          <cell r="R20">
            <v>19648</v>
          </cell>
          <cell r="T20">
            <v>17903</v>
          </cell>
        </row>
        <row r="24">
          <cell r="N24">
            <v>83547</v>
          </cell>
          <cell r="R24">
            <v>91690</v>
          </cell>
        </row>
        <row r="25">
          <cell r="N25">
            <v>300018</v>
          </cell>
          <cell r="R25">
            <v>329262</v>
          </cell>
        </row>
        <row r="26">
          <cell r="N26">
            <v>168884</v>
          </cell>
          <cell r="R26">
            <v>185346</v>
          </cell>
          <cell r="T26">
            <v>168884</v>
          </cell>
        </row>
        <row r="33">
          <cell r="N33">
            <v>384856</v>
          </cell>
          <cell r="R33">
            <v>422370</v>
          </cell>
        </row>
        <row r="36">
          <cell r="T36">
            <v>2021068</v>
          </cell>
        </row>
        <row r="41">
          <cell r="N41">
            <v>5968</v>
          </cell>
          <cell r="R41">
            <v>6549</v>
          </cell>
          <cell r="T41">
            <v>5968</v>
          </cell>
        </row>
        <row r="42">
          <cell r="N42">
            <v>13726</v>
          </cell>
          <cell r="R42">
            <v>15064</v>
          </cell>
          <cell r="T42">
            <v>13726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384873</v>
          </cell>
          <cell r="R12">
            <v>437911</v>
          </cell>
          <cell r="U12">
            <v>71010</v>
          </cell>
        </row>
        <row r="15">
          <cell r="R15">
            <v>94004</v>
          </cell>
          <cell r="T15">
            <v>82619</v>
          </cell>
        </row>
        <row r="18">
          <cell r="R18">
            <v>41873</v>
          </cell>
        </row>
        <row r="19">
          <cell r="R19">
            <v>3619</v>
          </cell>
          <cell r="T19">
            <v>3180</v>
          </cell>
        </row>
        <row r="20">
          <cell r="R20">
            <v>8014</v>
          </cell>
          <cell r="T20">
            <v>7043</v>
          </cell>
        </row>
        <row r="26">
          <cell r="R26">
            <v>73149</v>
          </cell>
          <cell r="T26">
            <v>64289</v>
          </cell>
        </row>
        <row r="33">
          <cell r="N33">
            <v>134046</v>
          </cell>
          <cell r="R33">
            <v>152519</v>
          </cell>
        </row>
        <row r="36">
          <cell r="T36">
            <v>1089551</v>
          </cell>
        </row>
        <row r="41">
          <cell r="R41">
            <v>6463</v>
          </cell>
          <cell r="T41">
            <v>5681</v>
          </cell>
        </row>
        <row r="42">
          <cell r="R42">
            <v>6720</v>
          </cell>
          <cell r="T42">
            <v>5907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N12">
            <v>440471</v>
          </cell>
          <cell r="R12">
            <v>456562</v>
          </cell>
        </row>
        <row r="15">
          <cell r="N15">
            <v>232817</v>
          </cell>
          <cell r="R15">
            <v>241323</v>
          </cell>
          <cell r="T15">
            <v>232817</v>
          </cell>
        </row>
        <row r="17">
          <cell r="N17">
            <v>79097</v>
          </cell>
          <cell r="R17">
            <v>81987</v>
          </cell>
        </row>
        <row r="18">
          <cell r="N18">
            <v>69855</v>
          </cell>
          <cell r="R18">
            <v>72407</v>
          </cell>
          <cell r="T18">
            <v>69855</v>
          </cell>
        </row>
        <row r="19">
          <cell r="N19">
            <v>4614</v>
          </cell>
          <cell r="R19">
            <v>4782</v>
          </cell>
          <cell r="T19">
            <v>4614</v>
          </cell>
        </row>
        <row r="20">
          <cell r="N20">
            <v>19770</v>
          </cell>
          <cell r="R20">
            <v>20493</v>
          </cell>
          <cell r="T20">
            <v>19770</v>
          </cell>
        </row>
        <row r="24">
          <cell r="N24">
            <v>92261</v>
          </cell>
          <cell r="R24">
            <v>95631</v>
          </cell>
        </row>
        <row r="25">
          <cell r="N25">
            <v>326271</v>
          </cell>
          <cell r="R25">
            <v>338191</v>
          </cell>
        </row>
        <row r="26">
          <cell r="N26">
            <v>186499</v>
          </cell>
          <cell r="R26">
            <v>193312</v>
          </cell>
          <cell r="T26">
            <v>186499</v>
          </cell>
        </row>
        <row r="33">
          <cell r="N33">
            <v>358923</v>
          </cell>
          <cell r="R33">
            <v>372036</v>
          </cell>
        </row>
        <row r="41">
          <cell r="N41">
            <v>6590</v>
          </cell>
          <cell r="R41">
            <v>6831</v>
          </cell>
          <cell r="T41">
            <v>6590</v>
          </cell>
        </row>
        <row r="42">
          <cell r="N42">
            <v>15158</v>
          </cell>
          <cell r="R42">
            <v>15712</v>
          </cell>
          <cell r="T42">
            <v>15158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39">
      <selection activeCell="B41" sqref="B41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78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'[7]Sheet1'!$N$15</f>
        <v>203074</v>
      </c>
      <c r="D9" s="21">
        <f>'[7]Sheet1'!$R$15</f>
        <v>222869</v>
      </c>
      <c r="E9" s="21">
        <f>D9-C9</f>
        <v>19795</v>
      </c>
      <c r="F9" s="21">
        <f>'[7]Sheet1'!$T$15</f>
        <v>203074</v>
      </c>
      <c r="G9" s="66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67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68"/>
      <c r="H11" s="62"/>
      <c r="I11" s="62"/>
    </row>
    <row r="12" spans="2:9" ht="13.5" thickBot="1">
      <c r="B12" s="26" t="s">
        <v>16</v>
      </c>
      <c r="C12" s="27">
        <f>C9</f>
        <v>203074</v>
      </c>
      <c r="D12" s="27">
        <f>D9</f>
        <v>222869</v>
      </c>
      <c r="E12" s="27">
        <f>E9</f>
        <v>19795</v>
      </c>
      <c r="F12" s="27">
        <f>F9</f>
        <v>203074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18</v>
      </c>
      <c r="C14" s="31">
        <f>'[7]Sheet1'!$N$18</f>
        <v>63257</v>
      </c>
      <c r="D14" s="31">
        <f>'[7]Sheet1'!$R$18</f>
        <v>69423</v>
      </c>
      <c r="E14" s="31">
        <f aca="true" t="shared" si="0" ref="E14:E20">D14-C14</f>
        <v>6166</v>
      </c>
      <c r="F14" s="31">
        <v>56758</v>
      </c>
      <c r="G14" s="31">
        <f aca="true" t="shared" si="1" ref="G14:G20">C14-F14</f>
        <v>6499</v>
      </c>
      <c r="H14" s="62"/>
      <c r="I14" s="62"/>
    </row>
    <row r="15" spans="2:9" ht="19.5" customHeight="1" thickBot="1">
      <c r="B15" s="24" t="s">
        <v>19</v>
      </c>
      <c r="C15" s="31">
        <f>'[7]Sheet1'!$N$19</f>
        <v>4177</v>
      </c>
      <c r="D15" s="31">
        <f>'[7]Sheet1'!$R$19</f>
        <v>4584</v>
      </c>
      <c r="E15" s="31">
        <f t="shared" si="0"/>
        <v>407</v>
      </c>
      <c r="F15" s="31">
        <f>'[7]Sheet1'!$T$19</f>
        <v>4177</v>
      </c>
      <c r="G15" s="31">
        <f t="shared" si="1"/>
        <v>0</v>
      </c>
      <c r="H15" s="62"/>
      <c r="I15" s="62"/>
    </row>
    <row r="16" spans="2:9" ht="21" customHeight="1" thickBot="1">
      <c r="B16" s="24" t="s">
        <v>20</v>
      </c>
      <c r="C16" s="31">
        <f>'[7]Sheet1'!$N$20</f>
        <v>17903</v>
      </c>
      <c r="D16" s="31">
        <f>'[7]Sheet1'!$R$20</f>
        <v>19648</v>
      </c>
      <c r="E16" s="31">
        <f t="shared" si="0"/>
        <v>1745</v>
      </c>
      <c r="F16" s="31">
        <f>'[7]Sheet1'!$T$20</f>
        <v>17903</v>
      </c>
      <c r="G16" s="31">
        <f t="shared" si="1"/>
        <v>0</v>
      </c>
      <c r="H16" s="62"/>
      <c r="I16" s="62"/>
    </row>
    <row r="17" spans="2:9" ht="17.25" customHeight="1" thickBot="1">
      <c r="B17" s="24" t="s">
        <v>56</v>
      </c>
      <c r="C17" s="31">
        <f>'[7]Sheet1'!$N$25</f>
        <v>300018</v>
      </c>
      <c r="D17" s="31">
        <f>'[7]Sheet1'!$R$25</f>
        <v>329262</v>
      </c>
      <c r="E17" s="31">
        <f t="shared" si="0"/>
        <v>29244</v>
      </c>
      <c r="F17" s="31">
        <f>C17</f>
        <v>300018</v>
      </c>
      <c r="G17" s="31">
        <f t="shared" si="1"/>
        <v>0</v>
      </c>
      <c r="H17" s="62"/>
      <c r="I17" s="62"/>
    </row>
    <row r="18" spans="2:9" ht="17.25" customHeight="1" thickBot="1">
      <c r="B18" s="24" t="s">
        <v>57</v>
      </c>
      <c r="C18" s="31">
        <f>'[7]Sheet1'!$N$24</f>
        <v>83547</v>
      </c>
      <c r="D18" s="31">
        <f>'[7]Sheet1'!$R$24</f>
        <v>91690</v>
      </c>
      <c r="E18" s="31">
        <f t="shared" si="0"/>
        <v>8143</v>
      </c>
      <c r="F18" s="31">
        <f>C18</f>
        <v>83547</v>
      </c>
      <c r="G18" s="31">
        <f t="shared" si="1"/>
        <v>0</v>
      </c>
      <c r="H18" s="62"/>
      <c r="I18" s="62"/>
    </row>
    <row r="19" spans="2:9" ht="25.5" customHeight="1" thickBot="1">
      <c r="B19" s="24" t="s">
        <v>21</v>
      </c>
      <c r="C19" s="31">
        <f>'[7]Sheet1'!$N$26</f>
        <v>168884</v>
      </c>
      <c r="D19" s="31">
        <f>'[7]Sheet1'!$R$26</f>
        <v>185346</v>
      </c>
      <c r="E19" s="31">
        <f t="shared" si="0"/>
        <v>16462</v>
      </c>
      <c r="F19" s="31">
        <f>'[7]Sheet1'!$T$26</f>
        <v>168884</v>
      </c>
      <c r="G19" s="31">
        <f t="shared" si="1"/>
        <v>0</v>
      </c>
      <c r="H19" s="62"/>
      <c r="I19" s="62"/>
    </row>
    <row r="20" spans="2:9" ht="25.5" customHeight="1" thickBot="1">
      <c r="B20" s="24" t="s">
        <v>22</v>
      </c>
      <c r="C20" s="31">
        <f>'[7]Sheet1'!$N$41+'[7]Sheet1'!$N$42</f>
        <v>19694</v>
      </c>
      <c r="D20" s="31">
        <f>'[7]Sheet1'!$R$41+'[7]Sheet1'!$R$42</f>
        <v>21613</v>
      </c>
      <c r="E20" s="31">
        <f t="shared" si="0"/>
        <v>1919</v>
      </c>
      <c r="F20" s="31">
        <f>'[7]Sheet1'!$T$41+'[7]Sheet1'!$T$42</f>
        <v>19694</v>
      </c>
      <c r="G20" s="31">
        <f t="shared" si="1"/>
        <v>0</v>
      </c>
      <c r="H20" s="62"/>
      <c r="I20" s="62"/>
    </row>
    <row r="21" spans="2:9" ht="13.5" thickBot="1">
      <c r="B21" s="26" t="s">
        <v>16</v>
      </c>
      <c r="C21" s="27">
        <f>SUM(C14:C20)</f>
        <v>657480</v>
      </c>
      <c r="D21" s="27">
        <f>SUM(D14:D20)</f>
        <v>721566</v>
      </c>
      <c r="E21" s="27">
        <f>SUM(E14:E20)</f>
        <v>64086</v>
      </c>
      <c r="F21" s="27">
        <f>SUM(F14:F20)</f>
        <v>650981</v>
      </c>
      <c r="G21" s="27">
        <f>SUM(G14:G20)</f>
        <v>6499</v>
      </c>
      <c r="H21" s="62"/>
      <c r="I21" s="62"/>
    </row>
    <row r="22" spans="2:9" ht="13.5" thickBot="1">
      <c r="B22" s="32" t="s">
        <v>23</v>
      </c>
      <c r="C22" s="27">
        <f>C12+C21</f>
        <v>860554</v>
      </c>
      <c r="D22" s="27">
        <f>D12+D21</f>
        <v>944435</v>
      </c>
      <c r="E22" s="27">
        <f>E12+E21</f>
        <v>83881</v>
      </c>
      <c r="F22" s="27">
        <f>F12+F21</f>
        <v>854055</v>
      </c>
      <c r="G22" s="27">
        <f>G12+G21</f>
        <v>6499</v>
      </c>
      <c r="H22" s="62"/>
      <c r="I22" s="62"/>
    </row>
    <row r="23" spans="2:9" ht="12.75">
      <c r="B23" s="33"/>
      <c r="C23" s="62"/>
      <c r="D23" s="62"/>
      <c r="E23" s="62"/>
      <c r="F23" s="62"/>
      <c r="G23" s="62"/>
      <c r="H23" s="62"/>
      <c r="I23" s="62"/>
    </row>
    <row r="24" spans="2:9" ht="13.5" thickBot="1">
      <c r="B24" s="10" t="s">
        <v>24</v>
      </c>
      <c r="C24" s="62"/>
      <c r="D24" s="62"/>
      <c r="E24" s="62"/>
      <c r="F24" s="62"/>
      <c r="G24" s="62"/>
      <c r="H24" s="62"/>
      <c r="I24" s="62"/>
    </row>
    <row r="25" spans="2:9" ht="105" customHeight="1" thickBot="1">
      <c r="B25" s="34" t="s">
        <v>4</v>
      </c>
      <c r="C25" s="34" t="s">
        <v>5</v>
      </c>
      <c r="D25" s="35" t="s">
        <v>25</v>
      </c>
      <c r="E25" s="35" t="s">
        <v>7</v>
      </c>
      <c r="F25" s="34" t="s">
        <v>26</v>
      </c>
      <c r="G25" s="34" t="s">
        <v>9</v>
      </c>
      <c r="H25" s="62"/>
      <c r="I25" s="62"/>
    </row>
    <row r="26" spans="2:9" ht="13.5" customHeight="1" thickBot="1">
      <c r="B26" s="14">
        <v>1</v>
      </c>
      <c r="C26" s="15">
        <v>2</v>
      </c>
      <c r="D26" s="15">
        <v>3</v>
      </c>
      <c r="E26" s="15" t="s">
        <v>10</v>
      </c>
      <c r="F26" s="15">
        <v>5</v>
      </c>
      <c r="G26" s="16" t="s">
        <v>11</v>
      </c>
      <c r="H26" s="62"/>
      <c r="I26" s="62"/>
    </row>
    <row r="27" spans="2:9" ht="38.25" customHeight="1" thickBot="1">
      <c r="B27" s="24" t="s">
        <v>27</v>
      </c>
      <c r="C27" s="36">
        <f>'[7]Sheet1'!$N$12</f>
        <v>385024</v>
      </c>
      <c r="D27" s="36">
        <f>'[7]Sheet1'!$R$12</f>
        <v>422553</v>
      </c>
      <c r="E27" s="36">
        <f>D27-C27</f>
        <v>37529</v>
      </c>
      <c r="F27" s="36">
        <f>'[7]Sheet1'!$U$12</f>
        <v>125813</v>
      </c>
      <c r="G27" s="36">
        <f>C27-F27</f>
        <v>259211</v>
      </c>
      <c r="H27" s="63"/>
      <c r="I27" s="62"/>
    </row>
    <row r="28" spans="2:9" ht="13.5" thickBot="1">
      <c r="B28" s="26" t="s">
        <v>28</v>
      </c>
      <c r="C28" s="37">
        <f>C27</f>
        <v>385024</v>
      </c>
      <c r="D28" s="37">
        <f>D27</f>
        <v>422553</v>
      </c>
      <c r="E28" s="37">
        <f>E27</f>
        <v>37529</v>
      </c>
      <c r="F28" s="37">
        <f>F27</f>
        <v>125813</v>
      </c>
      <c r="G28" s="37">
        <f>G27</f>
        <v>259211</v>
      </c>
      <c r="H28" s="62"/>
      <c r="I28" s="62"/>
    </row>
    <row r="29" spans="2:9" ht="12.75">
      <c r="B29" s="38"/>
      <c r="C29" s="62"/>
      <c r="D29" s="62"/>
      <c r="E29" s="62"/>
      <c r="F29" s="62"/>
      <c r="G29" s="62"/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3.5" thickBot="1">
      <c r="B31" s="10" t="s">
        <v>29</v>
      </c>
      <c r="C31" s="62"/>
      <c r="D31" s="62"/>
      <c r="E31" s="62"/>
      <c r="F31" s="62"/>
      <c r="G31" s="62"/>
      <c r="H31" s="62"/>
      <c r="I31" s="62"/>
    </row>
    <row r="32" spans="2:9" ht="103.5" customHeight="1" thickBot="1">
      <c r="B32" s="34" t="s">
        <v>4</v>
      </c>
      <c r="C32" s="13" t="s">
        <v>30</v>
      </c>
      <c r="D32" s="39" t="s">
        <v>31</v>
      </c>
      <c r="E32" s="35" t="s">
        <v>7</v>
      </c>
      <c r="F32" s="13" t="s">
        <v>32</v>
      </c>
      <c r="G32" s="34" t="s">
        <v>9</v>
      </c>
      <c r="H32" s="62"/>
      <c r="I32" s="62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62"/>
      <c r="I33" s="62"/>
    </row>
    <row r="34" spans="2:9" ht="16.5" customHeight="1">
      <c r="B34" s="40" t="s">
        <v>33</v>
      </c>
      <c r="C34" s="21">
        <f>'[7]Sheet1'!$N$33</f>
        <v>384856</v>
      </c>
      <c r="D34" s="21">
        <f>'[7]Sheet1'!$R$33</f>
        <v>422370</v>
      </c>
      <c r="E34" s="21">
        <f>D34-C34</f>
        <v>37514</v>
      </c>
      <c r="F34" s="21">
        <f>C34</f>
        <v>384856</v>
      </c>
      <c r="G34" s="21">
        <f>C34-F34</f>
        <v>0</v>
      </c>
      <c r="H34" s="62"/>
      <c r="I34" s="62"/>
    </row>
    <row r="35" spans="2:9" ht="24" customHeight="1" thickBot="1">
      <c r="B35" s="41"/>
      <c r="C35" s="42"/>
      <c r="D35" s="42"/>
      <c r="E35" s="42"/>
      <c r="F35" s="42"/>
      <c r="G35" s="42"/>
      <c r="H35" s="62"/>
      <c r="I35" s="62"/>
    </row>
    <row r="36" spans="2:9" ht="17.25" customHeight="1">
      <c r="B36" s="40" t="s">
        <v>34</v>
      </c>
      <c r="C36" s="21">
        <v>1472022.51</v>
      </c>
      <c r="D36" s="21">
        <f>1420188.42+25330.96</f>
        <v>1445519.38</v>
      </c>
      <c r="E36" s="21">
        <f>D36-C36</f>
        <v>-26503.13000000012</v>
      </c>
      <c r="F36" s="21">
        <f>'[7]Sheet1'!$T$36</f>
        <v>2021068</v>
      </c>
      <c r="G36" s="21">
        <f>C36-F36</f>
        <v>-549045.49</v>
      </c>
      <c r="H36" s="62"/>
      <c r="I36" s="62"/>
    </row>
    <row r="37" spans="2:9" ht="13.5" thickBot="1">
      <c r="B37" s="41"/>
      <c r="C37" s="42"/>
      <c r="D37" s="42"/>
      <c r="E37" s="42"/>
      <c r="F37" s="42"/>
      <c r="G37" s="42"/>
      <c r="H37" s="62"/>
      <c r="I37" s="62"/>
    </row>
    <row r="38" spans="2:9" ht="13.5" thickBot="1">
      <c r="B38" s="32" t="s">
        <v>35</v>
      </c>
      <c r="C38" s="37">
        <f>C34+C36</f>
        <v>1856878.51</v>
      </c>
      <c r="D38" s="37">
        <f>D34+D36</f>
        <v>1867889.38</v>
      </c>
      <c r="E38" s="37">
        <f>E34+E36</f>
        <v>11010.869999999879</v>
      </c>
      <c r="F38" s="37">
        <f>F34+F36</f>
        <v>2405924</v>
      </c>
      <c r="G38" s="37">
        <f>G34+G36</f>
        <v>-549045.49</v>
      </c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43" t="s">
        <v>79</v>
      </c>
      <c r="C41" s="62"/>
      <c r="D41" s="62"/>
      <c r="E41" s="62"/>
      <c r="F41" s="62"/>
      <c r="G41" s="44">
        <f>F43+F44</f>
        <v>132420.86999999988</v>
      </c>
      <c r="H41" s="62"/>
      <c r="I41" s="62"/>
    </row>
    <row r="42" spans="2:9" ht="12.75">
      <c r="B42" s="45" t="s">
        <v>37</v>
      </c>
      <c r="C42" s="63"/>
      <c r="D42" s="62"/>
      <c r="E42" s="62"/>
      <c r="F42" s="62"/>
      <c r="G42" s="62"/>
      <c r="H42" s="62"/>
      <c r="I42" s="62"/>
    </row>
    <row r="43" spans="2:9" ht="12.75">
      <c r="B43" s="46" t="s">
        <v>65</v>
      </c>
      <c r="C43" s="62"/>
      <c r="D43" s="62"/>
      <c r="E43" s="62"/>
      <c r="F43" s="47">
        <f>(E22+E28)</f>
        <v>121410</v>
      </c>
      <c r="G43" s="62"/>
      <c r="H43" s="62"/>
      <c r="I43" s="62"/>
    </row>
    <row r="44" spans="2:9" ht="12.75">
      <c r="B44" s="46" t="s">
        <v>59</v>
      </c>
      <c r="C44" s="62"/>
      <c r="D44" s="62"/>
      <c r="E44" s="62"/>
      <c r="F44" s="47">
        <f>(E38)</f>
        <v>11010.869999999879</v>
      </c>
      <c r="G44" s="62"/>
      <c r="H44" s="62"/>
      <c r="I44" s="62"/>
    </row>
    <row r="45" spans="2:9" ht="12.75">
      <c r="B45" s="46"/>
      <c r="C45" s="62"/>
      <c r="D45" s="62"/>
      <c r="E45" s="62"/>
      <c r="F45" s="47"/>
      <c r="G45" s="62"/>
      <c r="H45" s="62"/>
      <c r="I45" s="62"/>
    </row>
    <row r="46" spans="2:9" s="1" customFormat="1" ht="12.75">
      <c r="B46" s="48" t="s">
        <v>40</v>
      </c>
      <c r="C46" s="64"/>
      <c r="D46" s="64"/>
      <c r="E46" s="65"/>
      <c r="F46" s="51"/>
      <c r="G46" s="44">
        <f>F48+F49</f>
        <v>-549045.49</v>
      </c>
      <c r="H46" s="64"/>
      <c r="I46" s="64"/>
    </row>
    <row r="47" spans="2:9" s="1" customFormat="1" ht="12.75">
      <c r="B47" s="45" t="s">
        <v>37</v>
      </c>
      <c r="C47" s="64"/>
      <c r="D47" s="64"/>
      <c r="E47" s="65"/>
      <c r="F47" s="51"/>
      <c r="G47" s="52"/>
      <c r="H47" s="64"/>
      <c r="I47" s="64"/>
    </row>
    <row r="48" spans="2:9" s="1" customFormat="1" ht="12.75">
      <c r="B48" s="46" t="s">
        <v>41</v>
      </c>
      <c r="C48" s="64"/>
      <c r="D48" s="64"/>
      <c r="E48" s="65"/>
      <c r="F48" s="47">
        <f>IF((G22+G28)&lt;=0,G22+G28,0)</f>
        <v>0</v>
      </c>
      <c r="G48" s="52"/>
      <c r="H48" s="64"/>
      <c r="I48" s="64"/>
    </row>
    <row r="49" spans="2:9" s="1" customFormat="1" ht="12.75">
      <c r="B49" s="46" t="s">
        <v>42</v>
      </c>
      <c r="C49" s="64"/>
      <c r="D49" s="64"/>
      <c r="E49" s="65"/>
      <c r="F49" s="47">
        <f>IF(G38&lt;=0,G38,0)</f>
        <v>-549045.49</v>
      </c>
      <c r="G49" s="52"/>
      <c r="H49" s="64"/>
      <c r="I49" s="64"/>
    </row>
    <row r="50" spans="2:9" s="1" customFormat="1" ht="12.75">
      <c r="B50" s="46"/>
      <c r="C50" s="64"/>
      <c r="D50" s="64"/>
      <c r="E50" s="65"/>
      <c r="F50" s="51"/>
      <c r="G50" s="52"/>
      <c r="H50" s="64"/>
      <c r="I50" s="64"/>
    </row>
    <row r="51" spans="2:9" s="1" customFormat="1" ht="12.75">
      <c r="B51" s="48" t="s">
        <v>60</v>
      </c>
      <c r="C51" s="64"/>
      <c r="D51" s="64"/>
      <c r="E51" s="65"/>
      <c r="F51" s="51"/>
      <c r="G51" s="44">
        <f>F53+F54</f>
        <v>265710</v>
      </c>
      <c r="H51" s="64"/>
      <c r="I51" s="64"/>
    </row>
    <row r="52" spans="2:9" ht="12.75">
      <c r="B52" s="45" t="s">
        <v>37</v>
      </c>
      <c r="C52" s="62"/>
      <c r="D52" s="62"/>
      <c r="E52" s="62"/>
      <c r="F52" s="33"/>
      <c r="G52" s="52"/>
      <c r="H52" s="62"/>
      <c r="I52" s="62"/>
    </row>
    <row r="53" spans="2:9" ht="12.75">
      <c r="B53" s="46" t="s">
        <v>41</v>
      </c>
      <c r="C53" s="62"/>
      <c r="D53" s="62"/>
      <c r="E53" s="62"/>
      <c r="F53" s="47">
        <f>IF((G22+G28)&gt;0,G22+G28,0)</f>
        <v>265710</v>
      </c>
      <c r="G53" s="62"/>
      <c r="H53" s="62"/>
      <c r="I53" s="62"/>
    </row>
    <row r="54" spans="2:9" ht="12.75">
      <c r="B54" s="46" t="s">
        <v>42</v>
      </c>
      <c r="C54" s="62"/>
      <c r="D54" s="62"/>
      <c r="E54" s="62"/>
      <c r="F54" s="47">
        <f>IF(G38&gt;0,G38,0)</f>
        <v>0</v>
      </c>
      <c r="G54" s="62"/>
      <c r="H54" s="62"/>
      <c r="I54" s="62"/>
    </row>
    <row r="55" spans="2:9" ht="12.75">
      <c r="B55" s="46"/>
      <c r="C55" s="62"/>
      <c r="D55" s="62"/>
      <c r="E55" s="62"/>
      <c r="F55" s="47"/>
      <c r="G55" s="62"/>
      <c r="H55" s="62"/>
      <c r="I55" s="62"/>
    </row>
    <row r="56" spans="2:9" ht="12.75">
      <c r="B56" s="53" t="s">
        <v>44</v>
      </c>
      <c r="C56" s="11"/>
      <c r="D56" s="11"/>
      <c r="E56" s="11"/>
      <c r="F56" s="33"/>
      <c r="G56" s="11"/>
      <c r="H56" s="11"/>
      <c r="I56" s="11"/>
    </row>
    <row r="57" spans="2:9" ht="12.75">
      <c r="B57" s="33" t="s">
        <v>45</v>
      </c>
      <c r="C57" s="11"/>
      <c r="D57" s="11"/>
      <c r="E57" s="54"/>
      <c r="F57" s="51"/>
      <c r="G57" s="44">
        <f>1627.82+400+700+1800*3</f>
        <v>8127.82</v>
      </c>
      <c r="H57" s="11"/>
      <c r="I57" s="11"/>
    </row>
    <row r="58" spans="2:9" ht="12.75">
      <c r="B58" s="10"/>
      <c r="C58" s="11"/>
      <c r="D58" s="11"/>
      <c r="E58" s="11"/>
      <c r="F58" s="11"/>
      <c r="G58" s="11"/>
      <c r="H58" s="11"/>
      <c r="I58" s="11"/>
    </row>
    <row r="59" spans="2:9" ht="12.75">
      <c r="B59" s="46"/>
      <c r="C59" s="11"/>
      <c r="D59" s="11"/>
      <c r="E59" s="11"/>
      <c r="F59" s="47"/>
      <c r="G59" s="11"/>
      <c r="H59" s="11"/>
      <c r="I59" s="11"/>
    </row>
    <row r="60" spans="2:9" ht="15.75">
      <c r="B60" s="55" t="s">
        <v>61</v>
      </c>
      <c r="C60" s="11"/>
      <c r="D60" s="11"/>
      <c r="E60" s="11"/>
      <c r="F60" s="56">
        <f>G46+G51+G57</f>
        <v>-275207.67</v>
      </c>
      <c r="G60" s="56" t="s">
        <v>47</v>
      </c>
      <c r="H60" s="11"/>
      <c r="I60" s="11"/>
    </row>
    <row r="61" spans="2:9" ht="12.75">
      <c r="B61" s="57" t="s">
        <v>48</v>
      </c>
      <c r="C61" s="11"/>
      <c r="D61" s="11"/>
      <c r="E61" s="11"/>
      <c r="F61" s="47"/>
      <c r="G61" s="11"/>
      <c r="H61" s="11"/>
      <c r="I61" s="11"/>
    </row>
    <row r="62" spans="2:9" ht="12.75">
      <c r="B62" s="57" t="s">
        <v>49</v>
      </c>
      <c r="C62" s="11"/>
      <c r="D62" s="11"/>
      <c r="E62" s="11"/>
      <c r="F62" s="47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5.75">
      <c r="B64" s="55" t="s">
        <v>50</v>
      </c>
      <c r="C64" s="11"/>
      <c r="D64" s="11"/>
      <c r="E64" s="11"/>
      <c r="F64" s="56">
        <f>-159068.47-285132.31</f>
        <v>-444200.78</v>
      </c>
      <c r="G64" s="56" t="s">
        <v>47</v>
      </c>
      <c r="H64" s="11"/>
      <c r="I64" s="11"/>
    </row>
    <row r="65" spans="2:9" ht="12.75">
      <c r="B65" s="57" t="s">
        <v>51</v>
      </c>
      <c r="C65" s="11"/>
      <c r="D65" s="11"/>
      <c r="E65" s="11"/>
      <c r="F65" s="47"/>
      <c r="G65" s="11"/>
      <c r="H65" s="11"/>
      <c r="I65" s="11"/>
    </row>
    <row r="66" spans="2:9" ht="12.75">
      <c r="B66" s="57" t="s">
        <v>52</v>
      </c>
      <c r="C66" s="11"/>
      <c r="D66" s="11"/>
      <c r="E66" s="11"/>
      <c r="F66" s="47"/>
      <c r="G66" s="11"/>
      <c r="H66" s="11"/>
      <c r="I66" s="11"/>
    </row>
    <row r="67" spans="2:9" ht="12.75">
      <c r="B67" s="33"/>
      <c r="C67" s="62"/>
      <c r="D67" s="62"/>
      <c r="E67" s="62"/>
      <c r="F67" s="62"/>
      <c r="G67" s="62"/>
      <c r="H67" s="62"/>
      <c r="I67" s="62"/>
    </row>
    <row r="68" spans="1:9" ht="15.75">
      <c r="A68" s="11"/>
      <c r="B68" s="58" t="s">
        <v>63</v>
      </c>
      <c r="C68" s="58"/>
      <c r="D68" s="58"/>
      <c r="E68" s="11"/>
      <c r="F68" s="56">
        <f>F60+F64</f>
        <v>-719408.45</v>
      </c>
      <c r="G68" s="56" t="s">
        <v>47</v>
      </c>
      <c r="H68" s="11"/>
      <c r="I68" s="11"/>
    </row>
    <row r="69" spans="1:9" ht="12.75">
      <c r="A69" s="11"/>
      <c r="B69" s="38" t="s">
        <v>48</v>
      </c>
      <c r="C69" s="38"/>
      <c r="D69" s="11"/>
      <c r="E69" s="11"/>
      <c r="F69" s="47"/>
      <c r="G69" s="11"/>
      <c r="H69" s="11"/>
      <c r="I69" s="11"/>
    </row>
    <row r="70" spans="1:9" ht="12.75">
      <c r="A70" s="11"/>
      <c r="B70" s="38" t="s">
        <v>49</v>
      </c>
      <c r="C70" s="11"/>
      <c r="D70" s="11"/>
      <c r="E70" s="11"/>
      <c r="F70" s="47"/>
      <c r="G70" s="11"/>
      <c r="H70" s="11"/>
      <c r="I70" s="11"/>
    </row>
    <row r="71" spans="2:6" ht="14.25">
      <c r="B71" s="61"/>
      <c r="C71" s="61"/>
      <c r="D71" s="61"/>
      <c r="E71" s="61"/>
      <c r="F71" s="61"/>
    </row>
    <row r="72" spans="2:9" ht="12.75">
      <c r="B72" s="33"/>
      <c r="C72" s="62"/>
      <c r="D72" s="62"/>
      <c r="E72" s="62"/>
      <c r="F72" s="62"/>
      <c r="G72" s="62"/>
      <c r="H72" s="62"/>
      <c r="I72" s="62"/>
    </row>
    <row r="73" spans="1:9" ht="12.75">
      <c r="A73" s="33"/>
      <c r="B73" s="33"/>
      <c r="C73" s="59" t="s">
        <v>54</v>
      </c>
      <c r="D73" s="33"/>
      <c r="E73" s="33"/>
      <c r="F73" s="33"/>
      <c r="G73" s="33"/>
      <c r="H73" s="33"/>
      <c r="I73" s="33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pans="2:6" ht="15">
      <c r="B77" s="60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3:G13"/>
    <mergeCell ref="B34:B35"/>
    <mergeCell ref="C34:C35"/>
    <mergeCell ref="D34:D35"/>
    <mergeCell ref="E34:E35"/>
    <mergeCell ref="F34:F35"/>
    <mergeCell ref="G34:G35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2" width="9.140625" style="4" customWidth="1"/>
    <col min="13" max="13" width="10.140625" style="4" bestFit="1" customWidth="1"/>
    <col min="14" max="14" width="11.8515625" style="4" customWidth="1"/>
    <col min="15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80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v>100857.29</v>
      </c>
      <c r="D9" s="21">
        <f>'[8]Sheet1'!$R$15</f>
        <v>94004</v>
      </c>
      <c r="E9" s="21">
        <f>D9-C9</f>
        <v>-6853.289999999994</v>
      </c>
      <c r="F9" s="21">
        <f>'[8]Sheet1'!$T$15</f>
        <v>82619</v>
      </c>
      <c r="G9" s="66">
        <f>C9-F9</f>
        <v>18238.289999999994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67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68"/>
      <c r="H11" s="62"/>
      <c r="I11" s="62"/>
    </row>
    <row r="12" spans="2:17" ht="13.5" thickBot="1">
      <c r="B12" s="26" t="s">
        <v>16</v>
      </c>
      <c r="C12" s="27">
        <f>C9</f>
        <v>100857.29</v>
      </c>
      <c r="D12" s="27">
        <f>D9</f>
        <v>94004</v>
      </c>
      <c r="E12" s="27">
        <f>E9</f>
        <v>-6853.289999999994</v>
      </c>
      <c r="F12" s="27">
        <f>F9</f>
        <v>82619</v>
      </c>
      <c r="G12" s="27">
        <f>G9</f>
        <v>18238.289999999994</v>
      </c>
      <c r="H12" s="62"/>
      <c r="I12" s="62">
        <v>205520</v>
      </c>
      <c r="J12" s="4">
        <f>C12/I12</f>
        <v>0.490741971584274</v>
      </c>
      <c r="K12" s="4">
        <v>45368.9</v>
      </c>
      <c r="L12" s="4">
        <f>J12*K12</f>
        <v>22264.42343460977</v>
      </c>
      <c r="M12" s="69">
        <f>C12+L12</f>
        <v>123121.71343460976</v>
      </c>
      <c r="N12" s="4">
        <v>233842</v>
      </c>
      <c r="O12" s="4">
        <f>D12/N12</f>
        <v>0.4019979302263922</v>
      </c>
      <c r="P12" s="4">
        <v>99869.23</v>
      </c>
      <c r="Q12" s="4">
        <f>O12*P12</f>
        <v>40147.223753303515</v>
      </c>
    </row>
    <row r="13" spans="2:13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  <c r="M13" s="69"/>
    </row>
    <row r="14" spans="2:17" ht="27" customHeight="1" thickBot="1">
      <c r="B14" s="24" t="s">
        <v>68</v>
      </c>
      <c r="C14" s="31">
        <v>0</v>
      </c>
      <c r="D14" s="31">
        <v>0</v>
      </c>
      <c r="E14" s="31">
        <f>D14-C14</f>
        <v>0</v>
      </c>
      <c r="F14" s="31">
        <f>C14</f>
        <v>0</v>
      </c>
      <c r="G14" s="31">
        <f>C14-F14</f>
        <v>0</v>
      </c>
      <c r="H14" s="62"/>
      <c r="I14" s="62">
        <v>205520</v>
      </c>
      <c r="J14" s="4">
        <f aca="true" t="shared" si="0" ref="J14:J23">C14/I14</f>
        <v>0</v>
      </c>
      <c r="K14" s="4">
        <v>45368.9</v>
      </c>
      <c r="L14" s="4">
        <f aca="true" t="shared" si="1" ref="L14:L21">J14*K14</f>
        <v>0</v>
      </c>
      <c r="M14" s="69">
        <f aca="true" t="shared" si="2" ref="M14:M21">C14+L14</f>
        <v>0</v>
      </c>
      <c r="N14" s="4">
        <v>233842</v>
      </c>
      <c r="O14" s="4">
        <f aca="true" t="shared" si="3" ref="O14:O21">D14/N14</f>
        <v>0</v>
      </c>
      <c r="P14" s="4">
        <v>99869.23</v>
      </c>
      <c r="Q14" s="4">
        <f aca="true" t="shared" si="4" ref="Q14:Q21">O14*P14</f>
        <v>0</v>
      </c>
    </row>
    <row r="15" spans="2:17" ht="27" customHeight="1" thickBot="1">
      <c r="B15" s="24" t="s">
        <v>18</v>
      </c>
      <c r="C15" s="31">
        <v>44924.88521263137</v>
      </c>
      <c r="D15" s="31">
        <f>'[8]Sheet1'!$R$18</f>
        <v>41873</v>
      </c>
      <c r="E15" s="31">
        <f aca="true" t="shared" si="5" ref="E15:E21">D15-C15</f>
        <v>-3051.8852126313723</v>
      </c>
      <c r="F15" s="31">
        <v>42388</v>
      </c>
      <c r="G15" s="31">
        <f aca="true" t="shared" si="6" ref="G15:G21">C15-F15</f>
        <v>2536.8852126313723</v>
      </c>
      <c r="H15" s="62"/>
      <c r="I15" s="62">
        <v>205520</v>
      </c>
      <c r="J15" s="4">
        <f t="shared" si="0"/>
        <v>0.21859130601708532</v>
      </c>
      <c r="K15" s="4">
        <v>45368.9</v>
      </c>
      <c r="L15" s="4">
        <f t="shared" si="1"/>
        <v>9917.247103558542</v>
      </c>
      <c r="M15" s="69">
        <f t="shared" si="2"/>
        <v>54842.13231618991</v>
      </c>
      <c r="N15" s="4">
        <v>233842</v>
      </c>
      <c r="O15" s="4">
        <f t="shared" si="3"/>
        <v>0.1790653518187494</v>
      </c>
      <c r="P15" s="4">
        <v>99869.23</v>
      </c>
      <c r="Q15" s="4">
        <f t="shared" si="4"/>
        <v>17883.1188058176</v>
      </c>
    </row>
    <row r="16" spans="2:17" ht="19.5" customHeight="1" thickBot="1">
      <c r="B16" s="24" t="s">
        <v>19</v>
      </c>
      <c r="C16" s="31">
        <v>3881.990570260802</v>
      </c>
      <c r="D16" s="31">
        <f>'[8]Sheet1'!$R$19</f>
        <v>3619</v>
      </c>
      <c r="E16" s="31">
        <f t="shared" si="5"/>
        <v>-262.9905702608021</v>
      </c>
      <c r="F16" s="31">
        <f>'[8]Sheet1'!$T$19</f>
        <v>3180</v>
      </c>
      <c r="G16" s="31">
        <f t="shared" si="6"/>
        <v>701.9905702608021</v>
      </c>
      <c r="H16" s="62"/>
      <c r="I16" s="62">
        <v>205520</v>
      </c>
      <c r="J16" s="4">
        <f t="shared" si="0"/>
        <v>0.018888626752923326</v>
      </c>
      <c r="K16" s="4">
        <v>45368.9</v>
      </c>
      <c r="L16" s="4">
        <f t="shared" si="1"/>
        <v>856.9562182907032</v>
      </c>
      <c r="M16" s="69">
        <f t="shared" si="2"/>
        <v>4738.946788551505</v>
      </c>
      <c r="N16" s="4">
        <v>233842</v>
      </c>
      <c r="O16" s="4">
        <f t="shared" si="3"/>
        <v>0.015476261749386338</v>
      </c>
      <c r="P16" s="4">
        <v>99869.23</v>
      </c>
      <c r="Q16" s="4">
        <f t="shared" si="4"/>
        <v>1545.6023441896664</v>
      </c>
    </row>
    <row r="17" spans="2:17" ht="21" customHeight="1" thickBot="1">
      <c r="B17" s="24" t="s">
        <v>20</v>
      </c>
      <c r="C17" s="31">
        <v>8597.754586901518</v>
      </c>
      <c r="D17" s="31">
        <f>'[8]Sheet1'!$R$20</f>
        <v>8014</v>
      </c>
      <c r="E17" s="31">
        <f t="shared" si="5"/>
        <v>-583.7545869015175</v>
      </c>
      <c r="F17" s="31">
        <f>'[8]Sheet1'!$T$20</f>
        <v>7043</v>
      </c>
      <c r="G17" s="31">
        <f t="shared" si="6"/>
        <v>1554.7545869015175</v>
      </c>
      <c r="H17" s="62"/>
      <c r="I17" s="62">
        <v>205520</v>
      </c>
      <c r="J17" s="4">
        <f t="shared" si="0"/>
        <v>0.041834150383911625</v>
      </c>
      <c r="K17" s="4">
        <v>45368.9</v>
      </c>
      <c r="L17" s="4">
        <f t="shared" si="1"/>
        <v>1897.9693853526483</v>
      </c>
      <c r="M17" s="69">
        <f t="shared" si="2"/>
        <v>10495.723972254165</v>
      </c>
      <c r="N17" s="4">
        <v>233842</v>
      </c>
      <c r="O17" s="4">
        <f t="shared" si="3"/>
        <v>0.034271003498088454</v>
      </c>
      <c r="P17" s="4">
        <v>99869.23</v>
      </c>
      <c r="Q17" s="4">
        <f t="shared" si="4"/>
        <v>3422.6187306814004</v>
      </c>
    </row>
    <row r="18" spans="2:17" ht="17.25" customHeight="1" thickBot="1">
      <c r="B18" s="24" t="s">
        <v>56</v>
      </c>
      <c r="C18" s="31">
        <v>0</v>
      </c>
      <c r="D18" s="31">
        <v>0</v>
      </c>
      <c r="E18" s="31">
        <f t="shared" si="5"/>
        <v>0</v>
      </c>
      <c r="F18" s="31">
        <v>0</v>
      </c>
      <c r="G18" s="31">
        <v>0</v>
      </c>
      <c r="H18" s="62"/>
      <c r="I18" s="62">
        <v>205520</v>
      </c>
      <c r="J18" s="4">
        <f t="shared" si="0"/>
        <v>0</v>
      </c>
      <c r="K18" s="4">
        <v>45368.9</v>
      </c>
      <c r="L18" s="4">
        <f t="shared" si="1"/>
        <v>0</v>
      </c>
      <c r="M18" s="69">
        <f t="shared" si="2"/>
        <v>0</v>
      </c>
      <c r="N18" s="4">
        <v>233842</v>
      </c>
      <c r="O18" s="4">
        <f t="shared" si="3"/>
        <v>0</v>
      </c>
      <c r="P18" s="4">
        <v>99869.23</v>
      </c>
      <c r="Q18" s="4">
        <f t="shared" si="4"/>
        <v>0</v>
      </c>
    </row>
    <row r="19" spans="2:17" ht="17.25" customHeight="1" thickBot="1">
      <c r="B19" s="24" t="s">
        <v>57</v>
      </c>
      <c r="C19" s="31">
        <v>0</v>
      </c>
      <c r="D19" s="31">
        <v>0</v>
      </c>
      <c r="E19" s="31">
        <f t="shared" si="5"/>
        <v>0</v>
      </c>
      <c r="F19" s="31">
        <f>C19</f>
        <v>0</v>
      </c>
      <c r="G19" s="31">
        <f t="shared" si="6"/>
        <v>0</v>
      </c>
      <c r="H19" s="62"/>
      <c r="I19" s="62">
        <v>205520</v>
      </c>
      <c r="J19" s="4">
        <f t="shared" si="0"/>
        <v>0</v>
      </c>
      <c r="K19" s="4">
        <v>45368.9</v>
      </c>
      <c r="L19" s="4">
        <f t="shared" si="1"/>
        <v>0</v>
      </c>
      <c r="M19" s="69">
        <f t="shared" si="2"/>
        <v>0</v>
      </c>
      <c r="N19" s="4">
        <v>233842</v>
      </c>
      <c r="O19" s="4">
        <f t="shared" si="3"/>
        <v>0</v>
      </c>
      <c r="P19" s="4">
        <v>99869.23</v>
      </c>
      <c r="Q19" s="4">
        <f t="shared" si="4"/>
        <v>0</v>
      </c>
    </row>
    <row r="20" spans="2:17" ht="25.5" customHeight="1" thickBot="1">
      <c r="B20" s="24" t="s">
        <v>21</v>
      </c>
      <c r="C20" s="31">
        <v>78480.90936210587</v>
      </c>
      <c r="D20" s="31">
        <f>'[8]Sheet1'!$R$26</f>
        <v>73149</v>
      </c>
      <c r="E20" s="31">
        <f t="shared" si="5"/>
        <v>-5331.909362105871</v>
      </c>
      <c r="F20" s="31">
        <f>'[8]Sheet1'!$T$26</f>
        <v>64289</v>
      </c>
      <c r="G20" s="31">
        <f t="shared" si="6"/>
        <v>14191.909362105871</v>
      </c>
      <c r="H20" s="62"/>
      <c r="I20" s="62">
        <v>205520</v>
      </c>
      <c r="J20" s="4">
        <f t="shared" si="0"/>
        <v>0.3818650708549332</v>
      </c>
      <c r="K20" s="4">
        <v>45368.9</v>
      </c>
      <c r="L20" s="4">
        <f t="shared" si="1"/>
        <v>17324.798213110378</v>
      </c>
      <c r="M20" s="69">
        <f t="shared" si="2"/>
        <v>95805.70757521625</v>
      </c>
      <c r="N20" s="4">
        <v>233842</v>
      </c>
      <c r="O20" s="4">
        <f t="shared" si="3"/>
        <v>0.3128137802447807</v>
      </c>
      <c r="P20" s="4">
        <v>99869.23</v>
      </c>
      <c r="Q20" s="4">
        <f t="shared" si="4"/>
        <v>31240.471366435457</v>
      </c>
    </row>
    <row r="21" spans="2:17" ht="25.5" customHeight="1" thickBot="1">
      <c r="B21" s="24" t="s">
        <v>22</v>
      </c>
      <c r="C21" s="31">
        <v>14146.071298170495</v>
      </c>
      <c r="D21" s="31">
        <f>'[8]Sheet1'!$R$41+'[8]Sheet1'!$R$42</f>
        <v>13183</v>
      </c>
      <c r="E21" s="31">
        <f t="shared" si="5"/>
        <v>-963.0712981704946</v>
      </c>
      <c r="F21" s="31">
        <f>'[8]Sheet1'!$T$41+'[8]Sheet1'!$T$42</f>
        <v>11588</v>
      </c>
      <c r="G21" s="31">
        <f t="shared" si="6"/>
        <v>2558.0712981704946</v>
      </c>
      <c r="H21" s="62"/>
      <c r="I21" s="62">
        <v>205520</v>
      </c>
      <c r="J21" s="4">
        <f t="shared" si="0"/>
        <v>0.06883063107323129</v>
      </c>
      <c r="K21" s="4">
        <v>45368.9</v>
      </c>
      <c r="L21" s="4">
        <f t="shared" si="1"/>
        <v>3122.770018098323</v>
      </c>
      <c r="M21" s="69">
        <f t="shared" si="2"/>
        <v>17268.841316268816</v>
      </c>
      <c r="N21" s="4">
        <v>233842</v>
      </c>
      <c r="O21" s="4">
        <f t="shared" si="3"/>
        <v>0.05637567246260295</v>
      </c>
      <c r="P21" s="4">
        <v>99869.23</v>
      </c>
      <c r="Q21" s="4">
        <f t="shared" si="4"/>
        <v>5630.19499957236</v>
      </c>
    </row>
    <row r="22" spans="2:10" ht="13.5" thickBot="1">
      <c r="B22" s="26" t="s">
        <v>16</v>
      </c>
      <c r="C22" s="27">
        <f>SUM(C14:C21)</f>
        <v>150031.61103007005</v>
      </c>
      <c r="D22" s="27">
        <f>SUM(D14:D21)</f>
        <v>139838</v>
      </c>
      <c r="E22" s="27">
        <f>SUM(E14:E21)</f>
        <v>-10193.611030070058</v>
      </c>
      <c r="F22" s="27">
        <f>SUM(F14:F21)</f>
        <v>128488</v>
      </c>
      <c r="G22" s="27">
        <f>SUM(G14:G21)</f>
        <v>21543.61103007006</v>
      </c>
      <c r="H22" s="62"/>
      <c r="I22" s="62">
        <v>205520</v>
      </c>
      <c r="J22" s="4">
        <f t="shared" si="0"/>
        <v>0.7300097850820847</v>
      </c>
    </row>
    <row r="23" spans="2:10" ht="13.5" thickBot="1">
      <c r="B23" s="32" t="s">
        <v>23</v>
      </c>
      <c r="C23" s="27">
        <f>C12+C22</f>
        <v>250888.90103007003</v>
      </c>
      <c r="D23" s="27">
        <f>D12+D22</f>
        <v>233842</v>
      </c>
      <c r="E23" s="27">
        <f>E12+E22</f>
        <v>-17046.901030070054</v>
      </c>
      <c r="F23" s="27">
        <f>F12+F22</f>
        <v>211107</v>
      </c>
      <c r="G23" s="27">
        <f>G12+G22</f>
        <v>39781.901030070054</v>
      </c>
      <c r="H23" s="62"/>
      <c r="I23" s="62">
        <v>205520</v>
      </c>
      <c r="J23" s="4">
        <f t="shared" si="0"/>
        <v>1.2207517566663586</v>
      </c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3.5" thickBot="1">
      <c r="B25" s="10" t="s">
        <v>24</v>
      </c>
      <c r="C25" s="62"/>
      <c r="D25" s="62"/>
      <c r="E25" s="62"/>
      <c r="F25" s="62"/>
      <c r="G25" s="62"/>
      <c r="H25" s="62"/>
      <c r="I25" s="62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62"/>
      <c r="I26" s="62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62"/>
      <c r="I27" s="62"/>
    </row>
    <row r="28" spans="2:9" ht="38.25" customHeight="1" thickBot="1">
      <c r="B28" s="24" t="s">
        <v>27</v>
      </c>
      <c r="C28" s="36">
        <f>'[8]Sheet1'!$N$12+38535.34</f>
        <v>423408.33999999997</v>
      </c>
      <c r="D28" s="36">
        <f>'[8]Sheet1'!$R$12+16082.06</f>
        <v>453993.06</v>
      </c>
      <c r="E28" s="36">
        <f>D28-C28</f>
        <v>30584.72000000003</v>
      </c>
      <c r="F28" s="36">
        <f>'[8]Sheet1'!$U$12</f>
        <v>71010</v>
      </c>
      <c r="G28" s="36">
        <f>C28-F28</f>
        <v>352398.33999999997</v>
      </c>
      <c r="H28" s="63"/>
      <c r="I28" s="62"/>
    </row>
    <row r="29" spans="2:9" ht="13.5" thickBot="1">
      <c r="B29" s="26" t="s">
        <v>28</v>
      </c>
      <c r="C29" s="37">
        <f>C28</f>
        <v>423408.33999999997</v>
      </c>
      <c r="D29" s="37">
        <f>D28</f>
        <v>453993.06</v>
      </c>
      <c r="E29" s="37">
        <f>E28</f>
        <v>30584.72000000003</v>
      </c>
      <c r="F29" s="37">
        <f>F28</f>
        <v>71010</v>
      </c>
      <c r="G29" s="37">
        <f>G28</f>
        <v>352398.33999999997</v>
      </c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3.5" thickBot="1">
      <c r="B31" s="10" t="s">
        <v>29</v>
      </c>
      <c r="C31" s="62"/>
      <c r="D31" s="62"/>
      <c r="E31" s="62"/>
      <c r="F31" s="62"/>
      <c r="G31" s="62"/>
      <c r="H31" s="62"/>
      <c r="I31" s="62"/>
    </row>
    <row r="32" spans="2:9" ht="103.5" customHeight="1" thickBot="1">
      <c r="B32" s="34" t="s">
        <v>4</v>
      </c>
      <c r="C32" s="13" t="s">
        <v>30</v>
      </c>
      <c r="D32" s="39" t="s">
        <v>31</v>
      </c>
      <c r="E32" s="35" t="s">
        <v>7</v>
      </c>
      <c r="F32" s="13" t="s">
        <v>32</v>
      </c>
      <c r="G32" s="34" t="s">
        <v>9</v>
      </c>
      <c r="H32" s="62"/>
      <c r="I32" s="62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62"/>
      <c r="I33" s="62"/>
    </row>
    <row r="34" spans="2:9" ht="16.5" customHeight="1">
      <c r="B34" s="40" t="s">
        <v>73</v>
      </c>
      <c r="C34" s="21">
        <f>'[8]Sheet1'!$N$33+16760.97+16809.17+659.08</f>
        <v>168275.22</v>
      </c>
      <c r="D34" s="21">
        <f>'[8]Sheet1'!$R$33+5640.13+5328.84+258.31</f>
        <v>163746.28</v>
      </c>
      <c r="E34" s="21">
        <f>D34-C34</f>
        <v>-4528.940000000002</v>
      </c>
      <c r="F34" s="21">
        <f>C34</f>
        <v>168275.22</v>
      </c>
      <c r="G34" s="21">
        <f>C34-F34</f>
        <v>0</v>
      </c>
      <c r="H34" s="62"/>
      <c r="I34" s="62"/>
    </row>
    <row r="35" spans="2:9" ht="24" customHeight="1" thickBot="1">
      <c r="B35" s="41"/>
      <c r="C35" s="42"/>
      <c r="D35" s="42"/>
      <c r="E35" s="42"/>
      <c r="F35" s="42"/>
      <c r="G35" s="42"/>
      <c r="H35" s="62"/>
      <c r="I35" s="62"/>
    </row>
    <row r="36" spans="2:9" ht="17.25" customHeight="1">
      <c r="B36" s="40" t="s">
        <v>34</v>
      </c>
      <c r="C36" s="21">
        <f>834901.23</f>
        <v>834901.23</v>
      </c>
      <c r="D36" s="21">
        <f>735719.34+79699.53</f>
        <v>815418.87</v>
      </c>
      <c r="E36" s="21">
        <f>D36-C36</f>
        <v>-19482.359999999986</v>
      </c>
      <c r="F36" s="21">
        <f>'[8]Sheet1'!$T$36</f>
        <v>1089551</v>
      </c>
      <c r="G36" s="21">
        <f>C36-F36</f>
        <v>-254649.77000000002</v>
      </c>
      <c r="H36" s="62"/>
      <c r="I36" s="62"/>
    </row>
    <row r="37" spans="2:9" ht="13.5" thickBot="1">
      <c r="B37" s="41"/>
      <c r="C37" s="42"/>
      <c r="D37" s="42"/>
      <c r="E37" s="42"/>
      <c r="F37" s="42"/>
      <c r="G37" s="42"/>
      <c r="H37" s="62"/>
      <c r="I37" s="62"/>
    </row>
    <row r="38" spans="2:9" ht="13.5" thickBot="1">
      <c r="B38" s="32" t="s">
        <v>35</v>
      </c>
      <c r="C38" s="37">
        <f>C34+C36</f>
        <v>1003176.45</v>
      </c>
      <c r="D38" s="37">
        <f>D34+D36</f>
        <v>979165.15</v>
      </c>
      <c r="E38" s="37">
        <f>E34+E36</f>
        <v>-24011.29999999999</v>
      </c>
      <c r="F38" s="37">
        <f>F34+F36</f>
        <v>1257826.22</v>
      </c>
      <c r="G38" s="37">
        <f>G34+G36</f>
        <v>-254649.77000000002</v>
      </c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43" t="s">
        <v>79</v>
      </c>
      <c r="C41" s="62"/>
      <c r="D41" s="62"/>
      <c r="E41" s="62"/>
      <c r="F41" s="62"/>
      <c r="G41" s="44">
        <f>F43+F44</f>
        <v>-10473.481030070012</v>
      </c>
      <c r="H41" s="62"/>
      <c r="I41" s="62"/>
    </row>
    <row r="42" spans="2:9" ht="12.75">
      <c r="B42" s="45" t="s">
        <v>37</v>
      </c>
      <c r="C42" s="63"/>
      <c r="D42" s="62"/>
      <c r="E42" s="62"/>
      <c r="F42" s="62"/>
      <c r="G42" s="62"/>
      <c r="H42" s="62"/>
      <c r="I42" s="62"/>
    </row>
    <row r="43" spans="2:9" ht="12.75">
      <c r="B43" s="46" t="s">
        <v>65</v>
      </c>
      <c r="C43" s="62"/>
      <c r="D43" s="62"/>
      <c r="E43" s="62"/>
      <c r="F43" s="47">
        <f>(E23+E29)</f>
        <v>13537.818969929976</v>
      </c>
      <c r="G43" s="62"/>
      <c r="H43" s="62"/>
      <c r="I43" s="62"/>
    </row>
    <row r="44" spans="2:9" ht="12.75">
      <c r="B44" s="46" t="s">
        <v>59</v>
      </c>
      <c r="C44" s="62"/>
      <c r="D44" s="62"/>
      <c r="E44" s="62"/>
      <c r="F44" s="47">
        <f>(E38)</f>
        <v>-24011.29999999999</v>
      </c>
      <c r="G44" s="62"/>
      <c r="H44" s="62"/>
      <c r="I44" s="62"/>
    </row>
    <row r="45" spans="2:9" ht="12.75">
      <c r="B45" s="46"/>
      <c r="C45" s="62"/>
      <c r="D45" s="62"/>
      <c r="E45" s="62"/>
      <c r="F45" s="47"/>
      <c r="G45" s="62"/>
      <c r="H45" s="62"/>
      <c r="I45" s="62"/>
    </row>
    <row r="46" spans="2:9" s="1" customFormat="1" ht="12.75">
      <c r="B46" s="48" t="s">
        <v>40</v>
      </c>
      <c r="C46" s="64"/>
      <c r="D46" s="64"/>
      <c r="E46" s="65"/>
      <c r="F46" s="51"/>
      <c r="G46" s="44">
        <f>F48+F49</f>
        <v>-254649.77000000002</v>
      </c>
      <c r="H46" s="64"/>
      <c r="I46" s="64"/>
    </row>
    <row r="47" spans="2:9" s="1" customFormat="1" ht="12.75">
      <c r="B47" s="45" t="s">
        <v>37</v>
      </c>
      <c r="C47" s="64"/>
      <c r="D47" s="64"/>
      <c r="E47" s="65"/>
      <c r="F47" s="51"/>
      <c r="G47" s="52"/>
      <c r="H47" s="64"/>
      <c r="I47" s="64"/>
    </row>
    <row r="48" spans="2:9" s="1" customFormat="1" ht="12.75">
      <c r="B48" s="46" t="s">
        <v>41</v>
      </c>
      <c r="C48" s="64"/>
      <c r="D48" s="64"/>
      <c r="E48" s="65"/>
      <c r="F48" s="47">
        <f>IF((G23+G29)&lt;=0,G23+G29,0)</f>
        <v>0</v>
      </c>
      <c r="G48" s="52"/>
      <c r="H48" s="64"/>
      <c r="I48" s="64"/>
    </row>
    <row r="49" spans="2:9" s="1" customFormat="1" ht="12.75">
      <c r="B49" s="46" t="s">
        <v>42</v>
      </c>
      <c r="C49" s="64"/>
      <c r="D49" s="64"/>
      <c r="E49" s="65"/>
      <c r="F49" s="47">
        <f>IF(G38&lt;=0,G38,0)</f>
        <v>-254649.77000000002</v>
      </c>
      <c r="G49" s="52"/>
      <c r="H49" s="64"/>
      <c r="I49" s="64"/>
    </row>
    <row r="50" spans="2:9" s="1" customFormat="1" ht="12.75">
      <c r="B50" s="46"/>
      <c r="C50" s="64"/>
      <c r="D50" s="64"/>
      <c r="E50" s="65"/>
      <c r="F50" s="51"/>
      <c r="G50" s="52"/>
      <c r="H50" s="64"/>
      <c r="I50" s="64"/>
    </row>
    <row r="51" spans="2:9" s="1" customFormat="1" ht="12.75">
      <c r="B51" s="48" t="s">
        <v>60</v>
      </c>
      <c r="C51" s="64"/>
      <c r="D51" s="64"/>
      <c r="E51" s="65"/>
      <c r="F51" s="51"/>
      <c r="G51" s="44">
        <f>F53+F54</f>
        <v>392180.24103007</v>
      </c>
      <c r="H51" s="64"/>
      <c r="I51" s="64"/>
    </row>
    <row r="52" spans="2:9" ht="12.75">
      <c r="B52" s="45" t="s">
        <v>37</v>
      </c>
      <c r="C52" s="62"/>
      <c r="D52" s="62"/>
      <c r="E52" s="62"/>
      <c r="F52" s="33"/>
      <c r="G52" s="52"/>
      <c r="H52" s="62"/>
      <c r="I52" s="62"/>
    </row>
    <row r="53" spans="2:9" ht="12.75">
      <c r="B53" s="46" t="s">
        <v>41</v>
      </c>
      <c r="C53" s="62"/>
      <c r="D53" s="62"/>
      <c r="E53" s="62"/>
      <c r="F53" s="47">
        <f>IF((G23+G29)&gt;0,G23+G29,0)</f>
        <v>392180.24103007</v>
      </c>
      <c r="G53" s="62"/>
      <c r="H53" s="62"/>
      <c r="I53" s="62"/>
    </row>
    <row r="54" spans="2:9" ht="12.75">
      <c r="B54" s="46" t="s">
        <v>42</v>
      </c>
      <c r="C54" s="62"/>
      <c r="D54" s="62"/>
      <c r="E54" s="62"/>
      <c r="F54" s="47">
        <f>IF(G38&gt;0,G38,0)</f>
        <v>0</v>
      </c>
      <c r="G54" s="62"/>
      <c r="H54" s="62"/>
      <c r="I54" s="62"/>
    </row>
    <row r="55" spans="2:9" ht="12.75">
      <c r="B55" s="46"/>
      <c r="C55" s="62"/>
      <c r="D55" s="62"/>
      <c r="E55" s="62"/>
      <c r="F55" s="47"/>
      <c r="G55" s="62"/>
      <c r="H55" s="62"/>
      <c r="I55" s="62"/>
    </row>
    <row r="56" spans="2:9" ht="12.75">
      <c r="B56" s="53" t="s">
        <v>44</v>
      </c>
      <c r="C56" s="11"/>
      <c r="D56" s="11"/>
      <c r="E56" s="11"/>
      <c r="F56" s="33"/>
      <c r="G56" s="11"/>
      <c r="H56" s="11"/>
      <c r="I56" s="11"/>
    </row>
    <row r="57" spans="2:9" ht="12.75">
      <c r="B57" s="33" t="s">
        <v>45</v>
      </c>
      <c r="C57" s="11"/>
      <c r="D57" s="11"/>
      <c r="E57" s="54"/>
      <c r="F57" s="51"/>
      <c r="G57" s="44">
        <f>1627.82+400+700</f>
        <v>2727.8199999999997</v>
      </c>
      <c r="H57" s="11"/>
      <c r="I57" s="11"/>
    </row>
    <row r="58" spans="2:9" ht="12.75">
      <c r="B58" s="10"/>
      <c r="C58" s="11"/>
      <c r="D58" s="11"/>
      <c r="E58" s="11"/>
      <c r="F58" s="11"/>
      <c r="G58" s="11"/>
      <c r="H58" s="11"/>
      <c r="I58" s="11"/>
    </row>
    <row r="59" spans="2:9" ht="12.75">
      <c r="B59" s="46"/>
      <c r="C59" s="11"/>
      <c r="D59" s="11"/>
      <c r="E59" s="11"/>
      <c r="F59" s="47"/>
      <c r="G59" s="11"/>
      <c r="H59" s="11"/>
      <c r="I59" s="11"/>
    </row>
    <row r="60" spans="2:9" ht="15.75">
      <c r="B60" s="55" t="s">
        <v>61</v>
      </c>
      <c r="C60" s="11"/>
      <c r="D60" s="11"/>
      <c r="E60" s="11"/>
      <c r="F60" s="56">
        <f>G46+G51+G57</f>
        <v>140258.29103007</v>
      </c>
      <c r="G60" s="56" t="s">
        <v>47</v>
      </c>
      <c r="H60" s="11"/>
      <c r="I60" s="11"/>
    </row>
    <row r="61" spans="2:9" ht="12.75">
      <c r="B61" s="57" t="s">
        <v>48</v>
      </c>
      <c r="C61" s="11"/>
      <c r="D61" s="11"/>
      <c r="E61" s="11"/>
      <c r="F61" s="47"/>
      <c r="G61" s="11"/>
      <c r="H61" s="11"/>
      <c r="I61" s="11"/>
    </row>
    <row r="62" spans="2:9" ht="12.75">
      <c r="B62" s="57" t="s">
        <v>49</v>
      </c>
      <c r="C62" s="11"/>
      <c r="D62" s="11"/>
      <c r="E62" s="11"/>
      <c r="F62" s="47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5.75">
      <c r="B64" s="55" t="s">
        <v>50</v>
      </c>
      <c r="C64" s="11"/>
      <c r="D64" s="11"/>
      <c r="E64" s="11"/>
      <c r="F64" s="56">
        <f>-110510.18-109090.23</f>
        <v>-219600.40999999997</v>
      </c>
      <c r="G64" s="56" t="s">
        <v>47</v>
      </c>
      <c r="H64" s="11"/>
      <c r="I64" s="11"/>
    </row>
    <row r="65" spans="2:9" ht="12.75">
      <c r="B65" s="57" t="s">
        <v>51</v>
      </c>
      <c r="C65" s="11"/>
      <c r="D65" s="11"/>
      <c r="E65" s="11"/>
      <c r="F65" s="47"/>
      <c r="G65" s="11"/>
      <c r="H65" s="11"/>
      <c r="I65" s="11"/>
    </row>
    <row r="66" spans="2:9" ht="12.75">
      <c r="B66" s="57" t="s">
        <v>52</v>
      </c>
      <c r="C66" s="11"/>
      <c r="D66" s="11"/>
      <c r="E66" s="11"/>
      <c r="F66" s="47"/>
      <c r="G66" s="11"/>
      <c r="H66" s="11"/>
      <c r="I66" s="11"/>
    </row>
    <row r="67" spans="2:9" ht="12.75">
      <c r="B67" s="33"/>
      <c r="C67" s="62"/>
      <c r="D67" s="62"/>
      <c r="E67" s="62"/>
      <c r="F67" s="62"/>
      <c r="G67" s="62"/>
      <c r="H67" s="62"/>
      <c r="I67" s="62"/>
    </row>
    <row r="68" spans="1:9" ht="15.75">
      <c r="A68" s="11"/>
      <c r="B68" s="58" t="s">
        <v>63</v>
      </c>
      <c r="C68" s="58"/>
      <c r="D68" s="58"/>
      <c r="E68" s="11"/>
      <c r="F68" s="56">
        <f>F60+F64</f>
        <v>-79342.11896992999</v>
      </c>
      <c r="G68" s="56" t="s">
        <v>47</v>
      </c>
      <c r="H68" s="11"/>
      <c r="I68" s="11"/>
    </row>
    <row r="69" spans="1:9" ht="12.75">
      <c r="A69" s="11"/>
      <c r="B69" s="38" t="s">
        <v>48</v>
      </c>
      <c r="C69" s="38"/>
      <c r="D69" s="11"/>
      <c r="E69" s="11"/>
      <c r="F69" s="47"/>
      <c r="G69" s="11"/>
      <c r="H69" s="11"/>
      <c r="I69" s="11"/>
    </row>
    <row r="70" spans="1:9" ht="12.75">
      <c r="A70" s="11"/>
      <c r="B70" s="38" t="s">
        <v>49</v>
      </c>
      <c r="C70" s="11"/>
      <c r="D70" s="11"/>
      <c r="E70" s="11"/>
      <c r="F70" s="47"/>
      <c r="G70" s="11"/>
      <c r="H70" s="11"/>
      <c r="I70" s="11"/>
    </row>
    <row r="71" spans="2:9" ht="12.75">
      <c r="B71" s="33"/>
      <c r="C71" s="62"/>
      <c r="D71" s="62"/>
      <c r="E71" s="62"/>
      <c r="F71" s="62"/>
      <c r="G71" s="62"/>
      <c r="H71" s="62"/>
      <c r="I71" s="62"/>
    </row>
    <row r="72" spans="2:9" ht="12.75">
      <c r="B72" s="33"/>
      <c r="C72" s="62"/>
      <c r="D72" s="62"/>
      <c r="E72" s="62"/>
      <c r="F72" s="62"/>
      <c r="G72" s="62"/>
      <c r="H72" s="62"/>
      <c r="I72" s="62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pans="2:9" ht="12.75">
      <c r="B77" s="33"/>
      <c r="C77" s="62"/>
      <c r="D77" s="62"/>
      <c r="E77" s="62"/>
      <c r="F77" s="62"/>
      <c r="G77" s="62"/>
      <c r="H77" s="62"/>
      <c r="I77" s="62"/>
    </row>
    <row r="78" spans="2:9" ht="12.75">
      <c r="B78" s="33"/>
      <c r="C78" s="62"/>
      <c r="D78" s="62"/>
      <c r="E78" s="62"/>
      <c r="F78" s="62"/>
      <c r="G78" s="62"/>
      <c r="H78" s="62"/>
      <c r="I78" s="62"/>
    </row>
    <row r="79" spans="2:9" ht="12.75">
      <c r="B79" s="33"/>
      <c r="C79" s="62"/>
      <c r="D79" s="62"/>
      <c r="E79" s="62"/>
      <c r="F79" s="62"/>
      <c r="G79" s="62"/>
      <c r="H79" s="62"/>
      <c r="I79" s="62"/>
    </row>
    <row r="80" spans="2:6" ht="15">
      <c r="B80" s="60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3:G13"/>
    <mergeCell ref="B34:B35"/>
    <mergeCell ref="C34:C35"/>
    <mergeCell ref="D34:D35"/>
    <mergeCell ref="E34:E35"/>
    <mergeCell ref="F34:F35"/>
    <mergeCell ref="G34:G35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22">
      <selection activeCell="I28" sqref="I28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5.2812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81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'[9]Sheet1'!$N$15</f>
        <v>232817</v>
      </c>
      <c r="D9" s="21">
        <f>'[9]Sheet1'!$R$15</f>
        <v>241323</v>
      </c>
      <c r="E9" s="21">
        <f>D9-C9</f>
        <v>8506</v>
      </c>
      <c r="F9" s="21">
        <f>'[9]Sheet1'!$T$15</f>
        <v>232817</v>
      </c>
      <c r="G9" s="66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67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68"/>
      <c r="H11" s="62"/>
      <c r="I11" s="62"/>
    </row>
    <row r="12" spans="2:9" ht="13.5" thickBot="1">
      <c r="B12" s="26" t="s">
        <v>16</v>
      </c>
      <c r="C12" s="27">
        <f>C9</f>
        <v>232817</v>
      </c>
      <c r="D12" s="27">
        <f>D9</f>
        <v>241323</v>
      </c>
      <c r="E12" s="27">
        <f>E9</f>
        <v>8506</v>
      </c>
      <c r="F12" s="27">
        <f>F9</f>
        <v>232817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68</v>
      </c>
      <c r="C14" s="31">
        <f>'[9]Sheet1'!$N$17</f>
        <v>79097</v>
      </c>
      <c r="D14" s="31">
        <f>'[9]Sheet1'!$R$17</f>
        <v>81987</v>
      </c>
      <c r="E14" s="31">
        <f>D14-C14</f>
        <v>2890</v>
      </c>
      <c r="F14" s="31">
        <f>C14</f>
        <v>79097</v>
      </c>
      <c r="G14" s="31">
        <f>C14-F14</f>
        <v>0</v>
      </c>
      <c r="H14" s="62"/>
      <c r="I14" s="62"/>
    </row>
    <row r="15" spans="2:9" ht="27" customHeight="1" thickBot="1">
      <c r="B15" s="24" t="s">
        <v>18</v>
      </c>
      <c r="C15" s="31">
        <f>'[9]Sheet1'!$N$18</f>
        <v>69855</v>
      </c>
      <c r="D15" s="31">
        <f>'[9]Sheet1'!$R$18</f>
        <v>72407</v>
      </c>
      <c r="E15" s="31">
        <f aca="true" t="shared" si="0" ref="E15:E21">D15-C15</f>
        <v>2552</v>
      </c>
      <c r="F15" s="31">
        <f>'[9]Sheet1'!$T$18</f>
        <v>69855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'[9]Sheet1'!$N$19</f>
        <v>4614</v>
      </c>
      <c r="D16" s="31">
        <f>'[9]Sheet1'!$R$19</f>
        <v>4782</v>
      </c>
      <c r="E16" s="31">
        <f t="shared" si="0"/>
        <v>168</v>
      </c>
      <c r="F16" s="31">
        <f>'[9]Sheet1'!$T$19</f>
        <v>4614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'[9]Sheet1'!$N$20</f>
        <v>19770</v>
      </c>
      <c r="D17" s="31">
        <f>'[9]Sheet1'!$R$20</f>
        <v>20493</v>
      </c>
      <c r="E17" s="31">
        <f t="shared" si="0"/>
        <v>723</v>
      </c>
      <c r="F17" s="31">
        <f>'[9]Sheet1'!$T$20</f>
        <v>19770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'[9]Sheet1'!$N$25</f>
        <v>326271</v>
      </c>
      <c r="D18" s="31">
        <f>'[9]Sheet1'!$R$25</f>
        <v>338191</v>
      </c>
      <c r="E18" s="31">
        <f t="shared" si="0"/>
        <v>11920</v>
      </c>
      <c r="F18" s="31">
        <f>C18</f>
        <v>326271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'[9]Sheet1'!$N$24</f>
        <v>92261</v>
      </c>
      <c r="D19" s="31">
        <f>'[9]Sheet1'!$R$24</f>
        <v>95631</v>
      </c>
      <c r="E19" s="31">
        <f t="shared" si="0"/>
        <v>3370</v>
      </c>
      <c r="F19" s="31">
        <f>C19</f>
        <v>92261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'[9]Sheet1'!$N$26</f>
        <v>186499</v>
      </c>
      <c r="D20" s="31">
        <f>'[9]Sheet1'!$R$26</f>
        <v>193312</v>
      </c>
      <c r="E20" s="31">
        <f t="shared" si="0"/>
        <v>6813</v>
      </c>
      <c r="F20" s="31">
        <f>'[9]Sheet1'!$T$26</f>
        <v>186499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'[9]Sheet1'!$N$41+'[9]Sheet1'!$N$42</f>
        <v>21748</v>
      </c>
      <c r="D21" s="31">
        <f>'[9]Sheet1'!$R$41+'[9]Sheet1'!$R$42</f>
        <v>22543</v>
      </c>
      <c r="E21" s="31">
        <f t="shared" si="0"/>
        <v>795</v>
      </c>
      <c r="F21" s="31">
        <f>'[9]Sheet1'!$T$41+'[9]Sheet1'!$T$42</f>
        <v>21748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SUM(C14:C21)</f>
        <v>800115</v>
      </c>
      <c r="D22" s="27">
        <f>SUM(D14:D21)</f>
        <v>829346</v>
      </c>
      <c r="E22" s="27">
        <f>SUM(E14:E21)</f>
        <v>29231</v>
      </c>
      <c r="F22" s="27">
        <f>SUM(F14:F21)</f>
        <v>800115</v>
      </c>
      <c r="G22" s="27">
        <f>SUM(G14:G21)</f>
        <v>0</v>
      </c>
      <c r="H22" s="62"/>
      <c r="I22" s="62"/>
    </row>
    <row r="23" spans="2:9" ht="13.5" thickBot="1">
      <c r="B23" s="32" t="s">
        <v>23</v>
      </c>
      <c r="C23" s="27">
        <f>C12+C22</f>
        <v>1032932</v>
      </c>
      <c r="D23" s="27">
        <f>D12+D22</f>
        <v>1070669</v>
      </c>
      <c r="E23" s="27">
        <f>E12+E22</f>
        <v>37737</v>
      </c>
      <c r="F23" s="27">
        <f>F12+F22</f>
        <v>1032932</v>
      </c>
      <c r="G23" s="27">
        <f>G12+G22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3.5" thickBot="1">
      <c r="B25" s="10" t="s">
        <v>24</v>
      </c>
      <c r="C25" s="62"/>
      <c r="D25" s="62"/>
      <c r="E25" s="62"/>
      <c r="F25" s="62"/>
      <c r="G25" s="62"/>
      <c r="H25" s="62"/>
      <c r="I25" s="62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62"/>
      <c r="I26" s="62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62"/>
      <c r="I27" s="62"/>
    </row>
    <row r="28" spans="2:9" ht="38.25" customHeight="1" thickBot="1">
      <c r="B28" s="24" t="s">
        <v>27</v>
      </c>
      <c r="C28" s="36">
        <f>'[9]Sheet1'!$N$12</f>
        <v>440471</v>
      </c>
      <c r="D28" s="36">
        <f>'[9]Sheet1'!$R$12</f>
        <v>456562</v>
      </c>
      <c r="E28" s="36">
        <f>D28-C28</f>
        <v>16091</v>
      </c>
      <c r="F28" s="36">
        <v>316241</v>
      </c>
      <c r="G28" s="36">
        <f>C28-F28</f>
        <v>124230</v>
      </c>
      <c r="H28" s="63"/>
      <c r="I28" s="62"/>
    </row>
    <row r="29" spans="2:9" ht="13.5" thickBot="1">
      <c r="B29" s="26" t="s">
        <v>28</v>
      </c>
      <c r="C29" s="37">
        <f>C28</f>
        <v>440471</v>
      </c>
      <c r="D29" s="37">
        <f>D28</f>
        <v>456562</v>
      </c>
      <c r="E29" s="37">
        <f>E28</f>
        <v>16091</v>
      </c>
      <c r="F29" s="37">
        <f>F28</f>
        <v>316241</v>
      </c>
      <c r="G29" s="37">
        <f>G28</f>
        <v>124230</v>
      </c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3.5" thickBot="1">
      <c r="B31" s="10" t="s">
        <v>29</v>
      </c>
      <c r="C31" s="62"/>
      <c r="D31" s="62"/>
      <c r="E31" s="62"/>
      <c r="F31" s="62"/>
      <c r="G31" s="62"/>
      <c r="H31" s="62"/>
      <c r="I31" s="62"/>
    </row>
    <row r="32" spans="2:9" ht="103.5" customHeight="1" thickBot="1">
      <c r="B32" s="34" t="s">
        <v>4</v>
      </c>
      <c r="C32" s="13" t="s">
        <v>30</v>
      </c>
      <c r="D32" s="39" t="s">
        <v>31</v>
      </c>
      <c r="E32" s="35" t="s">
        <v>7</v>
      </c>
      <c r="F32" s="13" t="s">
        <v>32</v>
      </c>
      <c r="G32" s="34" t="s">
        <v>9</v>
      </c>
      <c r="H32" s="62"/>
      <c r="I32" s="62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62"/>
      <c r="I33" s="62"/>
    </row>
    <row r="34" spans="2:9" ht="16.5" customHeight="1">
      <c r="B34" s="40" t="s">
        <v>33</v>
      </c>
      <c r="C34" s="21">
        <f>'[9]Sheet1'!$N$33</f>
        <v>358923</v>
      </c>
      <c r="D34" s="21">
        <f>'[9]Sheet1'!$R$33</f>
        <v>372036</v>
      </c>
      <c r="E34" s="21">
        <f>D34-C34</f>
        <v>13113</v>
      </c>
      <c r="F34" s="21">
        <f>C34</f>
        <v>358923</v>
      </c>
      <c r="G34" s="21">
        <f>C34-F34</f>
        <v>0</v>
      </c>
      <c r="H34" s="62"/>
      <c r="I34" s="62"/>
    </row>
    <row r="35" spans="2:9" ht="24" customHeight="1" thickBot="1">
      <c r="B35" s="41"/>
      <c r="C35" s="42"/>
      <c r="D35" s="42"/>
      <c r="E35" s="42"/>
      <c r="F35" s="71"/>
      <c r="G35" s="42"/>
      <c r="H35" s="62"/>
      <c r="I35" s="62"/>
    </row>
    <row r="36" spans="2:9" ht="17.25" customHeight="1">
      <c r="B36" s="40" t="s">
        <v>34</v>
      </c>
      <c r="C36" s="21">
        <v>2503406.94</v>
      </c>
      <c r="D36" s="21">
        <f>2319237+93679.63</f>
        <v>2412916.63</v>
      </c>
      <c r="E36" s="21">
        <f>D36-C36</f>
        <v>-90490.31000000006</v>
      </c>
      <c r="F36" s="72">
        <f>'тепло 2013'!E31</f>
        <v>1565805.8307</v>
      </c>
      <c r="G36" s="21">
        <f>C36-F36</f>
        <v>937601.1092999999</v>
      </c>
      <c r="H36" s="62"/>
      <c r="I36" s="62"/>
    </row>
    <row r="37" spans="2:9" ht="13.5" thickBot="1">
      <c r="B37" s="41"/>
      <c r="C37" s="42"/>
      <c r="D37" s="42"/>
      <c r="E37" s="42"/>
      <c r="F37" s="73"/>
      <c r="G37" s="42"/>
      <c r="H37" s="11" t="s">
        <v>82</v>
      </c>
      <c r="I37" s="62"/>
    </row>
    <row r="38" spans="2:9" ht="13.5" thickBot="1">
      <c r="B38" s="32" t="s">
        <v>35</v>
      </c>
      <c r="C38" s="37">
        <f>C34+C36</f>
        <v>2862329.94</v>
      </c>
      <c r="D38" s="37">
        <f>D34+D36</f>
        <v>2784952.63</v>
      </c>
      <c r="E38" s="37">
        <f>E34+E36</f>
        <v>-77377.31000000006</v>
      </c>
      <c r="F38" s="37">
        <f>F34+F36</f>
        <v>1924728.8307</v>
      </c>
      <c r="G38" s="37">
        <f>G34+G36</f>
        <v>937601.1092999999</v>
      </c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43" t="s">
        <v>36</v>
      </c>
      <c r="C41" s="62"/>
      <c r="D41" s="62"/>
      <c r="E41" s="62"/>
      <c r="F41" s="62"/>
      <c r="G41" s="44">
        <f>F43+F44</f>
        <v>-23549.310000000056</v>
      </c>
      <c r="H41" s="62"/>
      <c r="I41" s="62"/>
    </row>
    <row r="42" spans="2:9" ht="12.75">
      <c r="B42" s="45" t="s">
        <v>37</v>
      </c>
      <c r="C42" s="63"/>
      <c r="D42" s="62"/>
      <c r="E42" s="62"/>
      <c r="F42" s="62"/>
      <c r="G42" s="62"/>
      <c r="H42" s="62"/>
      <c r="I42" s="62"/>
    </row>
    <row r="43" spans="2:9" ht="12.75">
      <c r="B43" s="46" t="s">
        <v>65</v>
      </c>
      <c r="C43" s="62"/>
      <c r="D43" s="62"/>
      <c r="E43" s="62"/>
      <c r="F43" s="47">
        <f>(E23+E29)</f>
        <v>53828</v>
      </c>
      <c r="G43" s="62"/>
      <c r="H43" s="62"/>
      <c r="I43" s="62"/>
    </row>
    <row r="44" spans="2:9" ht="12.75">
      <c r="B44" s="46" t="s">
        <v>59</v>
      </c>
      <c r="C44" s="62"/>
      <c r="D44" s="62"/>
      <c r="E44" s="62"/>
      <c r="F44" s="47">
        <f>(E38)</f>
        <v>-77377.31000000006</v>
      </c>
      <c r="G44" s="62"/>
      <c r="H44" s="62"/>
      <c r="I44" s="62"/>
    </row>
    <row r="45" spans="2:9" ht="12.75">
      <c r="B45" s="46"/>
      <c r="C45" s="62"/>
      <c r="D45" s="62"/>
      <c r="E45" s="62"/>
      <c r="F45" s="47"/>
      <c r="G45" s="62"/>
      <c r="H45" s="62"/>
      <c r="I45" s="62"/>
    </row>
    <row r="46" spans="2:9" s="1" customFormat="1" ht="12.75">
      <c r="B46" s="48" t="s">
        <v>40</v>
      </c>
      <c r="C46" s="64"/>
      <c r="D46" s="64"/>
      <c r="E46" s="65"/>
      <c r="F46" s="51"/>
      <c r="G46" s="44">
        <f>F48+F49</f>
        <v>0</v>
      </c>
      <c r="H46" s="64"/>
      <c r="I46" s="64"/>
    </row>
    <row r="47" spans="2:9" s="1" customFormat="1" ht="12.75">
      <c r="B47" s="45" t="s">
        <v>37</v>
      </c>
      <c r="C47" s="64"/>
      <c r="D47" s="64"/>
      <c r="E47" s="65"/>
      <c r="F47" s="51"/>
      <c r="G47" s="52"/>
      <c r="H47" s="64"/>
      <c r="I47" s="64"/>
    </row>
    <row r="48" spans="2:9" s="1" customFormat="1" ht="12.75">
      <c r="B48" s="46" t="s">
        <v>41</v>
      </c>
      <c r="C48" s="64"/>
      <c r="D48" s="64"/>
      <c r="E48" s="65"/>
      <c r="F48" s="47">
        <f>IF((G23+G29)&lt;=0,G23+G29,0)</f>
        <v>0</v>
      </c>
      <c r="G48" s="52"/>
      <c r="H48" s="64"/>
      <c r="I48" s="64"/>
    </row>
    <row r="49" spans="2:9" s="1" customFormat="1" ht="12.75">
      <c r="B49" s="46" t="s">
        <v>42</v>
      </c>
      <c r="C49" s="64"/>
      <c r="D49" s="64"/>
      <c r="E49" s="65"/>
      <c r="F49" s="47">
        <f>IF(G38&lt;=0,G38,0)</f>
        <v>0</v>
      </c>
      <c r="G49" s="52"/>
      <c r="H49" s="64"/>
      <c r="I49" s="64"/>
    </row>
    <row r="50" spans="2:9" s="1" customFormat="1" ht="12.75">
      <c r="B50" s="46"/>
      <c r="C50" s="64"/>
      <c r="D50" s="64"/>
      <c r="E50" s="65"/>
      <c r="F50" s="51"/>
      <c r="G50" s="52"/>
      <c r="H50" s="64"/>
      <c r="I50" s="64"/>
    </row>
    <row r="51" spans="2:9" s="1" customFormat="1" ht="12.75">
      <c r="B51" s="48" t="s">
        <v>60</v>
      </c>
      <c r="C51" s="64"/>
      <c r="D51" s="64"/>
      <c r="E51" s="65"/>
      <c r="F51" s="51"/>
      <c r="G51" s="44">
        <f>F53+F54</f>
        <v>1061831.1093</v>
      </c>
      <c r="H51" s="64"/>
      <c r="I51" s="64"/>
    </row>
    <row r="52" spans="2:9" ht="12.75">
      <c r="B52" s="45" t="s">
        <v>37</v>
      </c>
      <c r="C52" s="62"/>
      <c r="D52" s="62"/>
      <c r="E52" s="62"/>
      <c r="F52" s="33"/>
      <c r="G52" s="52"/>
      <c r="H52" s="62"/>
      <c r="I52" s="62"/>
    </row>
    <row r="53" spans="2:9" ht="12.75">
      <c r="B53" s="46" t="s">
        <v>41</v>
      </c>
      <c r="C53" s="62"/>
      <c r="D53" s="62"/>
      <c r="E53" s="62"/>
      <c r="F53" s="47">
        <f>IF((G23+G29)&gt;0,G23+G29,0)</f>
        <v>124230</v>
      </c>
      <c r="G53" s="62"/>
      <c r="H53" s="62"/>
      <c r="I53" s="62"/>
    </row>
    <row r="54" spans="2:9" ht="12.75">
      <c r="B54" s="46" t="s">
        <v>42</v>
      </c>
      <c r="C54" s="62"/>
      <c r="D54" s="62"/>
      <c r="E54" s="62"/>
      <c r="F54" s="47">
        <f>IF(G38&gt;0,G38,0)</f>
        <v>937601.1092999999</v>
      </c>
      <c r="G54" s="62"/>
      <c r="H54" s="62"/>
      <c r="I54" s="62"/>
    </row>
    <row r="55" spans="2:9" ht="12.75">
      <c r="B55" s="46"/>
      <c r="C55" s="62"/>
      <c r="D55" s="62"/>
      <c r="E55" s="62"/>
      <c r="F55" s="47"/>
      <c r="G55" s="62"/>
      <c r="H55" s="62"/>
      <c r="I55" s="62"/>
    </row>
    <row r="56" spans="2:9" ht="12.75">
      <c r="B56" s="53" t="s">
        <v>44</v>
      </c>
      <c r="C56" s="11"/>
      <c r="D56" s="11"/>
      <c r="E56" s="11"/>
      <c r="F56" s="33"/>
      <c r="G56" s="11"/>
      <c r="H56" s="11"/>
      <c r="I56" s="11"/>
    </row>
    <row r="57" spans="2:9" ht="12.75">
      <c r="B57" s="33" t="s">
        <v>45</v>
      </c>
      <c r="C57" s="11"/>
      <c r="D57" s="11"/>
      <c r="E57" s="54"/>
      <c r="F57" s="51"/>
      <c r="G57" s="44">
        <f>1627.82+400+700+1800*3</f>
        <v>8127.82</v>
      </c>
      <c r="H57" s="11"/>
      <c r="I57" s="11"/>
    </row>
    <row r="58" spans="2:9" ht="12.75">
      <c r="B58" s="10"/>
      <c r="C58" s="11"/>
      <c r="D58" s="11"/>
      <c r="E58" s="11"/>
      <c r="F58" s="11"/>
      <c r="G58" s="11"/>
      <c r="H58" s="11"/>
      <c r="I58" s="11"/>
    </row>
    <row r="59" spans="2:9" ht="12.75">
      <c r="B59" s="46"/>
      <c r="C59" s="11"/>
      <c r="D59" s="11"/>
      <c r="E59" s="11"/>
      <c r="F59" s="47"/>
      <c r="G59" s="11"/>
      <c r="H59" s="11"/>
      <c r="I59" s="11"/>
    </row>
    <row r="60" spans="2:9" ht="15.75">
      <c r="B60" s="55" t="s">
        <v>61</v>
      </c>
      <c r="C60" s="11"/>
      <c r="D60" s="11"/>
      <c r="E60" s="11"/>
      <c r="F60" s="56">
        <f>G46+G51+G57</f>
        <v>1069958.9293</v>
      </c>
      <c r="G60" s="56" t="s">
        <v>47</v>
      </c>
      <c r="H60" s="11"/>
      <c r="I60" s="11"/>
    </row>
    <row r="61" spans="2:9" ht="12.75">
      <c r="B61" s="57" t="s">
        <v>48</v>
      </c>
      <c r="C61" s="11"/>
      <c r="D61" s="11"/>
      <c r="E61" s="11"/>
      <c r="F61" s="47"/>
      <c r="G61" s="11"/>
      <c r="H61" s="11"/>
      <c r="I61" s="11"/>
    </row>
    <row r="62" spans="2:9" ht="12.75">
      <c r="B62" s="57" t="s">
        <v>49</v>
      </c>
      <c r="C62" s="11"/>
      <c r="D62" s="11"/>
      <c r="E62" s="11"/>
      <c r="F62" s="47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5.75">
      <c r="B64" s="55" t="s">
        <v>50</v>
      </c>
      <c r="C64" s="11"/>
      <c r="D64" s="11"/>
      <c r="E64" s="11"/>
      <c r="F64" s="56">
        <f>-262123.39-251220.91</f>
        <v>-513344.30000000005</v>
      </c>
      <c r="G64" s="56" t="s">
        <v>47</v>
      </c>
      <c r="H64" s="11"/>
      <c r="I64" s="11"/>
    </row>
    <row r="65" spans="2:9" ht="12.75">
      <c r="B65" s="57" t="s">
        <v>51</v>
      </c>
      <c r="C65" s="11"/>
      <c r="D65" s="11"/>
      <c r="E65" s="11"/>
      <c r="F65" s="47"/>
      <c r="G65" s="11"/>
      <c r="H65" s="11"/>
      <c r="I65" s="11"/>
    </row>
    <row r="66" spans="2:9" ht="12.75">
      <c r="B66" s="57" t="s">
        <v>52</v>
      </c>
      <c r="C66" s="11"/>
      <c r="D66" s="11"/>
      <c r="E66" s="11"/>
      <c r="F66" s="47"/>
      <c r="G66" s="11"/>
      <c r="H66" s="11"/>
      <c r="I66" s="11"/>
    </row>
    <row r="67" spans="2:9" ht="12.75">
      <c r="B67" s="46"/>
      <c r="C67" s="62"/>
      <c r="D67" s="62"/>
      <c r="E67" s="62"/>
      <c r="F67" s="47"/>
      <c r="G67" s="62"/>
      <c r="H67" s="62"/>
      <c r="I67" s="62"/>
    </row>
    <row r="68" spans="2:9" ht="15.75">
      <c r="B68" s="55" t="s">
        <v>63</v>
      </c>
      <c r="C68" s="11"/>
      <c r="D68" s="11"/>
      <c r="E68" s="11"/>
      <c r="F68" s="56">
        <f>F60+F64</f>
        <v>556614.6292999999</v>
      </c>
      <c r="G68" s="56" t="s">
        <v>47</v>
      </c>
      <c r="H68" s="11"/>
      <c r="I68" s="11"/>
    </row>
    <row r="69" spans="2:9" ht="12.75">
      <c r="B69" s="57" t="s">
        <v>48</v>
      </c>
      <c r="C69" s="11"/>
      <c r="D69" s="11"/>
      <c r="E69" s="11"/>
      <c r="F69" s="47"/>
      <c r="G69" s="11"/>
      <c r="H69" s="11"/>
      <c r="I69" s="11"/>
    </row>
    <row r="70" spans="2:9" ht="12.75">
      <c r="B70" s="57" t="s">
        <v>49</v>
      </c>
      <c r="C70" s="11"/>
      <c r="D70" s="11"/>
      <c r="E70" s="11"/>
      <c r="F70" s="47"/>
      <c r="G70" s="11"/>
      <c r="H70" s="11"/>
      <c r="I70" s="11"/>
    </row>
    <row r="71" spans="2:9" ht="12.75">
      <c r="B71" s="33"/>
      <c r="C71" s="62"/>
      <c r="D71" s="62"/>
      <c r="E71" s="62"/>
      <c r="F71" s="62"/>
      <c r="G71" s="62"/>
      <c r="H71" s="62"/>
      <c r="I71" s="62"/>
    </row>
    <row r="72" spans="2:9" ht="12.75">
      <c r="B72" s="33"/>
      <c r="C72" s="62"/>
      <c r="D72" s="62"/>
      <c r="E72" s="62"/>
      <c r="F72" s="62"/>
      <c r="G72" s="62"/>
      <c r="H72" s="62"/>
      <c r="I72" s="62"/>
    </row>
    <row r="73" spans="1:9" ht="12.75">
      <c r="A73" s="33"/>
      <c r="B73" s="33"/>
      <c r="C73" s="59" t="s">
        <v>54</v>
      </c>
      <c r="D73" s="33"/>
      <c r="E73" s="33"/>
      <c r="F73" s="33"/>
      <c r="G73" s="33"/>
      <c r="H73" s="33"/>
      <c r="I73" s="33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="33" customFormat="1" ht="12.75">
      <c r="A77" s="51"/>
    </row>
    <row r="78" spans="2:9" ht="12.75">
      <c r="B78" s="33"/>
      <c r="C78" s="62"/>
      <c r="D78" s="62"/>
      <c r="E78" s="62"/>
      <c r="F78" s="62"/>
      <c r="G78" s="62"/>
      <c r="H78" s="62"/>
      <c r="I78" s="62"/>
    </row>
    <row r="79" spans="2:6" ht="15">
      <c r="B79" s="60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  <row r="85" spans="2:6" ht="14.25">
      <c r="B85" s="61"/>
      <c r="C85" s="61"/>
      <c r="D85" s="61"/>
      <c r="E85" s="61"/>
      <c r="F85" s="61"/>
    </row>
    <row r="86" spans="2:6" ht="14.25">
      <c r="B86" s="61"/>
      <c r="C86" s="61"/>
      <c r="D86" s="61"/>
      <c r="E86" s="61"/>
      <c r="F86" s="6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3:G13"/>
    <mergeCell ref="B34:B35"/>
    <mergeCell ref="C34:C35"/>
    <mergeCell ref="D34:D35"/>
    <mergeCell ref="E34:E35"/>
    <mergeCell ref="F34:F35"/>
    <mergeCell ref="G34:G35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3:N20"/>
  <sheetViews>
    <sheetView zoomScalePageLayoutView="0" workbookViewId="0" topLeftCell="B1">
      <selection activeCell="L23" sqref="L23"/>
    </sheetView>
  </sheetViews>
  <sheetFormatPr defaultColWidth="9.140625" defaultRowHeight="15"/>
  <cols>
    <col min="1" max="1" width="7.28125" style="4" customWidth="1"/>
    <col min="2" max="2" width="12.7109375" style="4" customWidth="1"/>
    <col min="3" max="14" width="11.57421875" style="4" customWidth="1"/>
    <col min="15" max="16384" width="9.140625" style="4" customWidth="1"/>
  </cols>
  <sheetData>
    <row r="3" ht="12.75">
      <c r="B3" s="4" t="s">
        <v>83</v>
      </c>
    </row>
    <row r="5" spans="2:14" ht="15">
      <c r="B5" s="74" t="s">
        <v>84</v>
      </c>
      <c r="C5" s="74" t="s">
        <v>85</v>
      </c>
      <c r="D5" s="74"/>
      <c r="E5" s="74"/>
      <c r="F5" s="74"/>
      <c r="G5" s="74"/>
      <c r="H5" s="74" t="s">
        <v>86</v>
      </c>
      <c r="I5" s="74"/>
      <c r="J5" s="74"/>
      <c r="K5" s="74"/>
      <c r="L5" s="74"/>
      <c r="M5" s="74"/>
      <c r="N5" s="75" t="s">
        <v>87</v>
      </c>
    </row>
    <row r="6" spans="2:14" ht="45">
      <c r="B6" s="74"/>
      <c r="C6" s="76" t="s">
        <v>88</v>
      </c>
      <c r="D6" s="76" t="s">
        <v>89</v>
      </c>
      <c r="E6" s="76" t="s">
        <v>90</v>
      </c>
      <c r="F6" s="76" t="s">
        <v>91</v>
      </c>
      <c r="G6" s="76" t="s">
        <v>92</v>
      </c>
      <c r="H6" s="76" t="s">
        <v>88</v>
      </c>
      <c r="I6" s="76" t="s">
        <v>93</v>
      </c>
      <c r="J6" s="76" t="s">
        <v>94</v>
      </c>
      <c r="K6" s="76" t="s">
        <v>90</v>
      </c>
      <c r="L6" s="76" t="s">
        <v>91</v>
      </c>
      <c r="M6" s="76" t="s">
        <v>95</v>
      </c>
      <c r="N6" s="75"/>
    </row>
    <row r="7" spans="2:14" ht="12.75">
      <c r="B7" s="77">
        <v>1</v>
      </c>
      <c r="C7" s="77">
        <v>2</v>
      </c>
      <c r="D7" s="77">
        <v>3</v>
      </c>
      <c r="E7" s="77" t="s">
        <v>96</v>
      </c>
      <c r="F7" s="77">
        <v>5</v>
      </c>
      <c r="G7" s="77" t="s">
        <v>97</v>
      </c>
      <c r="H7" s="77">
        <v>7</v>
      </c>
      <c r="I7" s="77">
        <v>8</v>
      </c>
      <c r="J7" s="77">
        <v>9</v>
      </c>
      <c r="K7" s="77" t="s">
        <v>98</v>
      </c>
      <c r="L7" s="77">
        <v>11</v>
      </c>
      <c r="M7" s="77" t="s">
        <v>99</v>
      </c>
      <c r="N7" s="78" t="s">
        <v>100</v>
      </c>
    </row>
    <row r="8" spans="2:14" ht="15">
      <c r="B8" s="79">
        <v>41275</v>
      </c>
      <c r="C8" s="80">
        <f>178.9+517.32</f>
        <v>696.22</v>
      </c>
      <c r="D8" s="80">
        <v>221.92</v>
      </c>
      <c r="E8" s="81">
        <f>C8+D8</f>
        <v>918.14</v>
      </c>
      <c r="F8" s="82">
        <v>23.43</v>
      </c>
      <c r="G8" s="83">
        <f>E8*F8</f>
        <v>21512.0202</v>
      </c>
      <c r="H8" s="80">
        <f>C8</f>
        <v>696.22</v>
      </c>
      <c r="I8" s="80">
        <f>370.31+173.7</f>
        <v>544.01</v>
      </c>
      <c r="J8" s="80">
        <v>388.82</v>
      </c>
      <c r="K8" s="81">
        <f>H8+I8+J8</f>
        <v>1629.05</v>
      </c>
      <c r="L8" s="82">
        <v>14.338</v>
      </c>
      <c r="M8" s="83">
        <f>K8*L8</f>
        <v>23357.3189</v>
      </c>
      <c r="N8" s="84">
        <f aca="true" t="shared" si="0" ref="N8:N19">G8+M8</f>
        <v>44869.3391</v>
      </c>
    </row>
    <row r="9" spans="2:14" ht="15">
      <c r="B9" s="79">
        <v>41306</v>
      </c>
      <c r="C9" s="80">
        <f>228+528.82</f>
        <v>756.82</v>
      </c>
      <c r="D9" s="80">
        <v>224.46</v>
      </c>
      <c r="E9" s="81">
        <f aca="true" t="shared" si="1" ref="E9:E19">C9+D9</f>
        <v>981.2800000000001</v>
      </c>
      <c r="F9" s="82">
        <v>23.43</v>
      </c>
      <c r="G9" s="83">
        <f aca="true" t="shared" si="2" ref="G9:G19">E9*F9</f>
        <v>22991.3904</v>
      </c>
      <c r="H9" s="80">
        <f aca="true" t="shared" si="3" ref="H9:H19">C9</f>
        <v>756.82</v>
      </c>
      <c r="I9" s="80">
        <f>378.53+275.5</f>
        <v>654.03</v>
      </c>
      <c r="J9" s="80">
        <f>393.27</f>
        <v>393.27</v>
      </c>
      <c r="K9" s="81">
        <f aca="true" t="shared" si="4" ref="K9:K19">H9+I9+J9</f>
        <v>1804.12</v>
      </c>
      <c r="L9" s="82">
        <v>14.338</v>
      </c>
      <c r="M9" s="83">
        <f aca="true" t="shared" si="5" ref="M9:M19">K9*L9</f>
        <v>25867.47256</v>
      </c>
      <c r="N9" s="84">
        <f t="shared" si="0"/>
        <v>48858.86296</v>
      </c>
    </row>
    <row r="10" spans="2:14" ht="15">
      <c r="B10" s="79">
        <v>41334</v>
      </c>
      <c r="C10" s="80">
        <f>215.5+524.98</f>
        <v>740.48</v>
      </c>
      <c r="D10" s="80">
        <v>225.3</v>
      </c>
      <c r="E10" s="81">
        <f t="shared" si="1"/>
        <v>965.78</v>
      </c>
      <c r="F10" s="82">
        <v>23.43</v>
      </c>
      <c r="G10" s="83">
        <f t="shared" si="2"/>
        <v>22628.2254</v>
      </c>
      <c r="H10" s="80">
        <f t="shared" si="3"/>
        <v>740.48</v>
      </c>
      <c r="I10" s="80">
        <f>375.79+193.9</f>
        <v>569.69</v>
      </c>
      <c r="J10" s="80">
        <v>394.74</v>
      </c>
      <c r="K10" s="81">
        <f t="shared" si="4"/>
        <v>1704.91</v>
      </c>
      <c r="L10" s="82">
        <v>14.338</v>
      </c>
      <c r="M10" s="83">
        <f t="shared" si="5"/>
        <v>24444.99958</v>
      </c>
      <c r="N10" s="84">
        <f t="shared" si="0"/>
        <v>47073.22498</v>
      </c>
    </row>
    <row r="11" spans="2:14" ht="15">
      <c r="B11" s="79">
        <v>41365</v>
      </c>
      <c r="C11" s="80">
        <f>175.1+527.98</f>
        <v>703.08</v>
      </c>
      <c r="D11" s="80">
        <v>229.54</v>
      </c>
      <c r="E11" s="81">
        <f t="shared" si="1"/>
        <v>932.62</v>
      </c>
      <c r="F11" s="82">
        <v>23.43</v>
      </c>
      <c r="G11" s="83">
        <f t="shared" si="2"/>
        <v>21851.2866</v>
      </c>
      <c r="H11" s="80">
        <f t="shared" si="3"/>
        <v>703.08</v>
      </c>
      <c r="I11" s="80">
        <f>375.79+171.3</f>
        <v>547.09</v>
      </c>
      <c r="J11" s="80">
        <v>402.17</v>
      </c>
      <c r="K11" s="81">
        <f t="shared" si="4"/>
        <v>1652.3400000000001</v>
      </c>
      <c r="L11" s="82">
        <v>14.338</v>
      </c>
      <c r="M11" s="83">
        <f t="shared" si="5"/>
        <v>23691.250920000002</v>
      </c>
      <c r="N11" s="84">
        <f t="shared" si="0"/>
        <v>45542.53752</v>
      </c>
    </row>
    <row r="12" spans="2:14" ht="15">
      <c r="B12" s="79">
        <v>41395</v>
      </c>
      <c r="C12" s="80">
        <f>494.33+217</f>
        <v>711.3299999999999</v>
      </c>
      <c r="D12" s="80">
        <f>226.99</f>
        <v>226.99</v>
      </c>
      <c r="E12" s="81">
        <f t="shared" si="1"/>
        <v>938.3199999999999</v>
      </c>
      <c r="F12" s="82">
        <v>23.43</v>
      </c>
      <c r="G12" s="83">
        <f t="shared" si="2"/>
        <v>21984.8376</v>
      </c>
      <c r="H12" s="80">
        <f t="shared" si="3"/>
        <v>711.3299999999999</v>
      </c>
      <c r="I12" s="80">
        <f>353.85+250.55</f>
        <v>604.4000000000001</v>
      </c>
      <c r="J12" s="80">
        <v>0</v>
      </c>
      <c r="K12" s="81">
        <f t="shared" si="4"/>
        <v>1315.73</v>
      </c>
      <c r="L12" s="82">
        <v>14.338</v>
      </c>
      <c r="M12" s="83">
        <f t="shared" si="5"/>
        <v>18864.93674</v>
      </c>
      <c r="N12" s="84">
        <f t="shared" si="0"/>
        <v>40849.77434</v>
      </c>
    </row>
    <row r="13" spans="2:14" ht="15">
      <c r="B13" s="79">
        <v>41426</v>
      </c>
      <c r="C13" s="80">
        <f>482.83+243.2</f>
        <v>726.03</v>
      </c>
      <c r="D13" s="80">
        <v>24.12</v>
      </c>
      <c r="E13" s="81">
        <f t="shared" si="1"/>
        <v>750.15</v>
      </c>
      <c r="F13" s="82">
        <v>23.43</v>
      </c>
      <c r="G13" s="83">
        <f>E13*F13</f>
        <v>17576.014499999997</v>
      </c>
      <c r="H13" s="80">
        <f t="shared" si="3"/>
        <v>726.03</v>
      </c>
      <c r="I13" s="80">
        <f>345.62+249</f>
        <v>594.62</v>
      </c>
      <c r="J13" s="80">
        <v>0</v>
      </c>
      <c r="K13" s="81">
        <f t="shared" si="4"/>
        <v>1320.65</v>
      </c>
      <c r="L13" s="82">
        <v>14.338</v>
      </c>
      <c r="M13" s="83">
        <f t="shared" si="5"/>
        <v>18935.4797</v>
      </c>
      <c r="N13" s="84">
        <f t="shared" si="0"/>
        <v>36511.4942</v>
      </c>
    </row>
    <row r="14" spans="2:14" ht="15">
      <c r="B14" s="79">
        <v>41456</v>
      </c>
      <c r="C14" s="80">
        <f>482.82+196</f>
        <v>678.8199999999999</v>
      </c>
      <c r="D14" s="80">
        <v>24.12</v>
      </c>
      <c r="E14" s="80">
        <f t="shared" si="1"/>
        <v>702.9399999999999</v>
      </c>
      <c r="F14" s="82">
        <v>25.075</v>
      </c>
      <c r="G14" s="83">
        <f t="shared" si="2"/>
        <v>17626.2205</v>
      </c>
      <c r="H14" s="80">
        <f t="shared" si="3"/>
        <v>678.8199999999999</v>
      </c>
      <c r="I14" s="80">
        <f>345.62+189</f>
        <v>534.62</v>
      </c>
      <c r="J14" s="80">
        <v>0</v>
      </c>
      <c r="K14" s="81">
        <f t="shared" si="4"/>
        <v>1213.44</v>
      </c>
      <c r="L14" s="82">
        <v>15.34</v>
      </c>
      <c r="M14" s="83">
        <f t="shared" si="5"/>
        <v>18614.1696</v>
      </c>
      <c r="N14" s="84">
        <f t="shared" si="0"/>
        <v>36240.390100000004</v>
      </c>
    </row>
    <row r="15" spans="2:14" ht="15">
      <c r="B15" s="79">
        <v>41487</v>
      </c>
      <c r="C15" s="80">
        <f>486.66+198</f>
        <v>684.6600000000001</v>
      </c>
      <c r="D15" s="80">
        <v>24.39</v>
      </c>
      <c r="E15" s="80">
        <f t="shared" si="1"/>
        <v>709.0500000000001</v>
      </c>
      <c r="F15" s="82">
        <v>25.075</v>
      </c>
      <c r="G15" s="83">
        <f t="shared" si="2"/>
        <v>17779.428750000003</v>
      </c>
      <c r="H15" s="80">
        <f t="shared" si="3"/>
        <v>684.6600000000001</v>
      </c>
      <c r="I15" s="80">
        <f>348.36+152</f>
        <v>500.36</v>
      </c>
      <c r="J15" s="80">
        <v>0</v>
      </c>
      <c r="K15" s="81">
        <f t="shared" si="4"/>
        <v>1185.02</v>
      </c>
      <c r="L15" s="82">
        <v>15.34</v>
      </c>
      <c r="M15" s="83">
        <f t="shared" si="5"/>
        <v>18178.2068</v>
      </c>
      <c r="N15" s="84">
        <f t="shared" si="0"/>
        <v>35957.635550000006</v>
      </c>
    </row>
    <row r="16" spans="2:14" ht="15">
      <c r="B16" s="79">
        <v>41518</v>
      </c>
      <c r="C16" s="80">
        <f>467.5+196</f>
        <v>663.5</v>
      </c>
      <c r="D16" s="80">
        <v>23.94</v>
      </c>
      <c r="E16" s="80">
        <f t="shared" si="1"/>
        <v>687.44</v>
      </c>
      <c r="F16" s="82">
        <v>25.075</v>
      </c>
      <c r="G16" s="83">
        <f t="shared" si="2"/>
        <v>17237.558</v>
      </c>
      <c r="H16" s="80">
        <f t="shared" si="3"/>
        <v>663.5</v>
      </c>
      <c r="I16" s="80">
        <f>334.65+198</f>
        <v>532.65</v>
      </c>
      <c r="J16" s="80">
        <v>0</v>
      </c>
      <c r="K16" s="81">
        <f t="shared" si="4"/>
        <v>1196.15</v>
      </c>
      <c r="L16" s="82">
        <v>15.34</v>
      </c>
      <c r="M16" s="83">
        <f t="shared" si="5"/>
        <v>18348.941000000003</v>
      </c>
      <c r="N16" s="84">
        <f t="shared" si="0"/>
        <v>35586.499</v>
      </c>
    </row>
    <row r="17" spans="2:14" ht="15">
      <c r="B17" s="79">
        <v>41548</v>
      </c>
      <c r="C17" s="80">
        <f>467.5+249.7</f>
        <v>717.2</v>
      </c>
      <c r="D17" s="80">
        <v>23.94</v>
      </c>
      <c r="E17" s="80">
        <f t="shared" si="1"/>
        <v>741.1400000000001</v>
      </c>
      <c r="F17" s="82">
        <v>25.075</v>
      </c>
      <c r="G17" s="83">
        <f t="shared" si="2"/>
        <v>18584.0855</v>
      </c>
      <c r="H17" s="80">
        <f t="shared" si="3"/>
        <v>717.2</v>
      </c>
      <c r="I17" s="80">
        <f>334.65+202</f>
        <v>536.65</v>
      </c>
      <c r="J17" s="80">
        <v>0</v>
      </c>
      <c r="K17" s="81">
        <f t="shared" si="4"/>
        <v>1253.85</v>
      </c>
      <c r="L17" s="82">
        <v>15.34</v>
      </c>
      <c r="M17" s="83">
        <f t="shared" si="5"/>
        <v>19234.058999999997</v>
      </c>
      <c r="N17" s="84">
        <f t="shared" si="0"/>
        <v>37818.144499999995</v>
      </c>
    </row>
    <row r="18" spans="2:14" ht="15">
      <c r="B18" s="79">
        <v>41579</v>
      </c>
      <c r="C18" s="80">
        <f>479+231</f>
        <v>710</v>
      </c>
      <c r="D18" s="80">
        <v>24.21</v>
      </c>
      <c r="E18" s="80">
        <f t="shared" si="1"/>
        <v>734.21</v>
      </c>
      <c r="F18" s="82">
        <v>25.075</v>
      </c>
      <c r="G18" s="83">
        <f t="shared" si="2"/>
        <v>18410.31575</v>
      </c>
      <c r="H18" s="80">
        <f t="shared" si="3"/>
        <v>710</v>
      </c>
      <c r="I18" s="80">
        <f>342.88+246</f>
        <v>588.88</v>
      </c>
      <c r="J18" s="80">
        <v>0</v>
      </c>
      <c r="K18" s="81">
        <f t="shared" si="4"/>
        <v>1298.88</v>
      </c>
      <c r="L18" s="82">
        <v>15.34</v>
      </c>
      <c r="M18" s="83">
        <f t="shared" si="5"/>
        <v>19924.8192</v>
      </c>
      <c r="N18" s="84">
        <f t="shared" si="0"/>
        <v>38335.13495000001</v>
      </c>
    </row>
    <row r="19" spans="2:14" ht="15">
      <c r="B19" s="79">
        <v>41609</v>
      </c>
      <c r="C19" s="80">
        <f>475.17+205.8</f>
        <v>680.97</v>
      </c>
      <c r="D19" s="80">
        <v>24.48</v>
      </c>
      <c r="E19" s="80">
        <f t="shared" si="1"/>
        <v>705.45</v>
      </c>
      <c r="F19" s="82">
        <v>25.075</v>
      </c>
      <c r="G19" s="83">
        <f t="shared" si="2"/>
        <v>17689.158750000002</v>
      </c>
      <c r="H19" s="80">
        <f t="shared" si="3"/>
        <v>680.97</v>
      </c>
      <c r="I19" s="80">
        <f>340.13+245</f>
        <v>585.13</v>
      </c>
      <c r="J19" s="80">
        <v>0</v>
      </c>
      <c r="K19" s="81">
        <f t="shared" si="4"/>
        <v>1266.1</v>
      </c>
      <c r="L19" s="82">
        <v>15.34</v>
      </c>
      <c r="M19" s="83">
        <f t="shared" si="5"/>
        <v>19421.974</v>
      </c>
      <c r="N19" s="84">
        <f t="shared" si="0"/>
        <v>37111.132750000004</v>
      </c>
    </row>
    <row r="20" spans="2:14" ht="15">
      <c r="B20" s="85" t="s">
        <v>101</v>
      </c>
      <c r="C20" s="86">
        <f>SUM(C8:C19)</f>
        <v>8469.109999999999</v>
      </c>
      <c r="D20" s="86">
        <f aca="true" t="shared" si="6" ref="D20:N20">SUM(D8:D19)</f>
        <v>1297.41</v>
      </c>
      <c r="E20" s="86">
        <f t="shared" si="6"/>
        <v>9766.52</v>
      </c>
      <c r="F20" s="84"/>
      <c r="G20" s="84">
        <f t="shared" si="6"/>
        <v>235870.54194999998</v>
      </c>
      <c r="H20" s="86">
        <f t="shared" si="6"/>
        <v>8469.109999999999</v>
      </c>
      <c r="I20" s="86">
        <f t="shared" si="6"/>
        <v>6792.129999999999</v>
      </c>
      <c r="J20" s="86">
        <f t="shared" si="6"/>
        <v>1579</v>
      </c>
      <c r="K20" s="86">
        <f t="shared" si="6"/>
        <v>16840.239999999998</v>
      </c>
      <c r="L20" s="84"/>
      <c r="M20" s="84">
        <f t="shared" si="6"/>
        <v>248883.628</v>
      </c>
      <c r="N20" s="84">
        <f t="shared" si="6"/>
        <v>484754.16995</v>
      </c>
    </row>
  </sheetData>
  <sheetProtection/>
  <mergeCells count="4">
    <mergeCell ref="B5:B6"/>
    <mergeCell ref="C5:G5"/>
    <mergeCell ref="H5:M5"/>
    <mergeCell ref="N5:N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R33"/>
  <sheetViews>
    <sheetView zoomScalePageLayoutView="0" workbookViewId="0" topLeftCell="D14">
      <selection activeCell="Q21" sqref="Q21"/>
    </sheetView>
  </sheetViews>
  <sheetFormatPr defaultColWidth="9.140625" defaultRowHeight="15"/>
  <cols>
    <col min="1" max="1" width="1.28515625" style="4" customWidth="1"/>
    <col min="2" max="2" width="9.421875" style="4" customWidth="1"/>
    <col min="3" max="3" width="11.421875" style="4" customWidth="1"/>
    <col min="4" max="4" width="10.7109375" style="4" customWidth="1"/>
    <col min="5" max="5" width="13.00390625" style="4" customWidth="1"/>
    <col min="6" max="13" width="10.7109375" style="4" customWidth="1"/>
    <col min="14" max="16" width="9.140625" style="4" customWidth="1"/>
    <col min="17" max="17" width="10.7109375" style="4" customWidth="1"/>
    <col min="18" max="18" width="10.00390625" style="4" customWidth="1"/>
    <col min="19" max="16384" width="9.140625" style="4" customWidth="1"/>
  </cols>
  <sheetData>
    <row r="3" ht="12.75">
      <c r="B3" s="4" t="s">
        <v>83</v>
      </c>
    </row>
    <row r="5" spans="2:13" ht="15">
      <c r="B5" s="74" t="s">
        <v>84</v>
      </c>
      <c r="C5" s="74" t="s">
        <v>102</v>
      </c>
      <c r="D5" s="74"/>
      <c r="E5" s="74"/>
      <c r="F5" s="74"/>
      <c r="G5" s="74"/>
      <c r="H5" s="74" t="s">
        <v>103</v>
      </c>
      <c r="I5" s="74"/>
      <c r="J5" s="74"/>
      <c r="K5" s="74"/>
      <c r="L5" s="74"/>
      <c r="M5" s="75" t="s">
        <v>104</v>
      </c>
    </row>
    <row r="6" spans="2:13" ht="45">
      <c r="B6" s="74"/>
      <c r="C6" s="76" t="s">
        <v>105</v>
      </c>
      <c r="D6" s="76" t="s">
        <v>106</v>
      </c>
      <c r="E6" s="76" t="s">
        <v>107</v>
      </c>
      <c r="F6" s="76" t="s">
        <v>108</v>
      </c>
      <c r="G6" s="76" t="s">
        <v>109</v>
      </c>
      <c r="H6" s="76" t="s">
        <v>93</v>
      </c>
      <c r="I6" s="76" t="s">
        <v>94</v>
      </c>
      <c r="J6" s="76" t="s">
        <v>90</v>
      </c>
      <c r="K6" s="76" t="s">
        <v>91</v>
      </c>
      <c r="L6" s="76" t="s">
        <v>110</v>
      </c>
      <c r="M6" s="75"/>
    </row>
    <row r="7" spans="2:13" ht="12.75">
      <c r="B7" s="77">
        <v>1</v>
      </c>
      <c r="C7" s="77">
        <v>2</v>
      </c>
      <c r="D7" s="77">
        <v>3</v>
      </c>
      <c r="E7" s="77" t="s">
        <v>96</v>
      </c>
      <c r="F7" s="77">
        <v>5</v>
      </c>
      <c r="G7" s="77" t="s">
        <v>97</v>
      </c>
      <c r="H7" s="77">
        <v>7</v>
      </c>
      <c r="I7" s="77">
        <v>8</v>
      </c>
      <c r="J7" s="77" t="s">
        <v>111</v>
      </c>
      <c r="K7" s="77">
        <v>10</v>
      </c>
      <c r="L7" s="77" t="s">
        <v>112</v>
      </c>
      <c r="M7" s="78" t="s">
        <v>113</v>
      </c>
    </row>
    <row r="8" spans="2:13" ht="15">
      <c r="B8" s="79">
        <v>41275</v>
      </c>
      <c r="C8" s="80">
        <v>114.9</v>
      </c>
      <c r="D8" s="80">
        <v>1</v>
      </c>
      <c r="E8" s="81">
        <f aca="true" t="shared" si="0" ref="E8:E13">C8+D8</f>
        <v>115.9</v>
      </c>
      <c r="F8" s="83">
        <v>1280.06</v>
      </c>
      <c r="G8" s="83">
        <f aca="true" t="shared" si="1" ref="G8:G13">E8*F8</f>
        <v>148358.954</v>
      </c>
      <c r="H8" s="80">
        <v>544</v>
      </c>
      <c r="I8" s="80">
        <v>118.69</v>
      </c>
      <c r="J8" s="81">
        <f aca="true" t="shared" si="2" ref="J8:J13">H8+I8</f>
        <v>662.69</v>
      </c>
      <c r="K8" s="83">
        <v>108.21</v>
      </c>
      <c r="L8" s="83">
        <f aca="true" t="shared" si="3" ref="L8:L13">J8*K8</f>
        <v>71709.68490000001</v>
      </c>
      <c r="M8" s="84">
        <f aca="true" t="shared" si="4" ref="M8:M13">G8+L8</f>
        <v>220068.63890000002</v>
      </c>
    </row>
    <row r="9" spans="2:13" ht="15">
      <c r="B9" s="79">
        <v>41306</v>
      </c>
      <c r="C9" s="80">
        <v>83.8</v>
      </c>
      <c r="D9" s="80">
        <v>0.9</v>
      </c>
      <c r="E9" s="81">
        <f t="shared" si="0"/>
        <v>84.7</v>
      </c>
      <c r="F9" s="83">
        <v>1280.06</v>
      </c>
      <c r="G9" s="83">
        <f t="shared" si="1"/>
        <v>108421.082</v>
      </c>
      <c r="H9" s="80">
        <v>654.03</v>
      </c>
      <c r="I9" s="80">
        <v>240.1</v>
      </c>
      <c r="J9" s="81">
        <f t="shared" si="2"/>
        <v>894.13</v>
      </c>
      <c r="K9" s="83">
        <v>108.21</v>
      </c>
      <c r="L9" s="83">
        <f t="shared" si="3"/>
        <v>96753.8073</v>
      </c>
      <c r="M9" s="84">
        <f t="shared" si="4"/>
        <v>205174.88929999998</v>
      </c>
    </row>
    <row r="10" spans="2:13" ht="15">
      <c r="B10" s="79">
        <v>41334</v>
      </c>
      <c r="C10" s="80">
        <v>99.05</v>
      </c>
      <c r="D10" s="80">
        <v>1</v>
      </c>
      <c r="E10" s="81">
        <f t="shared" si="0"/>
        <v>100.05</v>
      </c>
      <c r="F10" s="83">
        <v>1280.06</v>
      </c>
      <c r="G10" s="83">
        <f t="shared" si="1"/>
        <v>128070.003</v>
      </c>
      <c r="H10" s="80">
        <v>569.69</v>
      </c>
      <c r="I10" s="80">
        <v>120.5</v>
      </c>
      <c r="J10" s="81">
        <f t="shared" si="2"/>
        <v>690.19</v>
      </c>
      <c r="K10" s="83">
        <v>108.21</v>
      </c>
      <c r="L10" s="83">
        <f t="shared" si="3"/>
        <v>74685.4599</v>
      </c>
      <c r="M10" s="84">
        <f t="shared" si="4"/>
        <v>202755.46289999998</v>
      </c>
    </row>
    <row r="11" spans="2:13" ht="15">
      <c r="B11" s="79">
        <v>41365</v>
      </c>
      <c r="C11" s="80">
        <v>51.12</v>
      </c>
      <c r="D11" s="80">
        <v>0.96</v>
      </c>
      <c r="E11" s="81">
        <f t="shared" si="0"/>
        <v>52.08</v>
      </c>
      <c r="F11" s="83">
        <v>1280.06</v>
      </c>
      <c r="G11" s="83">
        <f t="shared" si="1"/>
        <v>66665.5248</v>
      </c>
      <c r="H11" s="80">
        <v>547.09</v>
      </c>
      <c r="I11" s="80">
        <v>122.76</v>
      </c>
      <c r="J11" s="81">
        <f t="shared" si="2"/>
        <v>669.85</v>
      </c>
      <c r="K11" s="83">
        <v>108.21</v>
      </c>
      <c r="L11" s="83">
        <f t="shared" si="3"/>
        <v>72484.4685</v>
      </c>
      <c r="M11" s="84">
        <f t="shared" si="4"/>
        <v>139149.9933</v>
      </c>
    </row>
    <row r="12" spans="2:13" ht="15">
      <c r="B12" s="79">
        <v>41395</v>
      </c>
      <c r="C12" s="80">
        <v>7.21</v>
      </c>
      <c r="D12" s="80">
        <v>0.17</v>
      </c>
      <c r="E12" s="81">
        <f t="shared" si="0"/>
        <v>7.38</v>
      </c>
      <c r="F12" s="83">
        <v>1280.06</v>
      </c>
      <c r="G12" s="83">
        <f t="shared" si="1"/>
        <v>9446.8428</v>
      </c>
      <c r="H12" s="80">
        <v>491</v>
      </c>
      <c r="I12" s="80">
        <v>81.09</v>
      </c>
      <c r="J12" s="81">
        <f t="shared" si="2"/>
        <v>572.09</v>
      </c>
      <c r="K12" s="83">
        <v>108.21</v>
      </c>
      <c r="L12" s="83">
        <f t="shared" si="3"/>
        <v>61905.8589</v>
      </c>
      <c r="M12" s="84">
        <f t="shared" si="4"/>
        <v>71352.7017</v>
      </c>
    </row>
    <row r="13" spans="2:13" ht="15">
      <c r="B13" s="79">
        <v>41426</v>
      </c>
      <c r="C13" s="80">
        <v>0</v>
      </c>
      <c r="D13" s="80">
        <v>0.96</v>
      </c>
      <c r="E13" s="81">
        <f t="shared" si="0"/>
        <v>0.96</v>
      </c>
      <c r="F13" s="83">
        <v>1280.06</v>
      </c>
      <c r="G13" s="83">
        <f t="shared" si="1"/>
        <v>1228.8575999999998</v>
      </c>
      <c r="H13" s="80">
        <v>490.32</v>
      </c>
      <c r="I13" s="80">
        <v>16.09</v>
      </c>
      <c r="J13" s="81">
        <f t="shared" si="2"/>
        <v>506.40999999999997</v>
      </c>
      <c r="K13" s="83">
        <v>108.21</v>
      </c>
      <c r="L13" s="83">
        <f t="shared" si="3"/>
        <v>54798.626099999994</v>
      </c>
      <c r="M13" s="84">
        <f t="shared" si="4"/>
        <v>56027.4837</v>
      </c>
    </row>
    <row r="14" spans="2:13" ht="15">
      <c r="B14" s="85" t="s">
        <v>101</v>
      </c>
      <c r="C14" s="86">
        <f>SUM(C8:C13)</f>
        <v>356.08</v>
      </c>
      <c r="D14" s="86">
        <f aca="true" t="shared" si="5" ref="D14:M14">SUM(D8:D13)</f>
        <v>4.99</v>
      </c>
      <c r="E14" s="86">
        <f t="shared" si="5"/>
        <v>361.07</v>
      </c>
      <c r="F14" s="84"/>
      <c r="G14" s="84">
        <f t="shared" si="5"/>
        <v>462191.2642</v>
      </c>
      <c r="H14" s="86">
        <f t="shared" si="5"/>
        <v>3296.13</v>
      </c>
      <c r="I14" s="86">
        <f t="shared" si="5"/>
        <v>699.23</v>
      </c>
      <c r="J14" s="86">
        <f t="shared" si="5"/>
        <v>3995.36</v>
      </c>
      <c r="K14" s="84"/>
      <c r="L14" s="84">
        <f t="shared" si="5"/>
        <v>432337.9056</v>
      </c>
      <c r="M14" s="84">
        <f t="shared" si="5"/>
        <v>894529.1697999999</v>
      </c>
    </row>
    <row r="17" spans="2:18" ht="15" customHeight="1">
      <c r="B17" s="74" t="s">
        <v>84</v>
      </c>
      <c r="C17" s="87" t="s">
        <v>102</v>
      </c>
      <c r="D17" s="88"/>
      <c r="E17" s="88"/>
      <c r="F17" s="88"/>
      <c r="G17" s="89"/>
      <c r="H17" s="90" t="s">
        <v>103</v>
      </c>
      <c r="I17" s="90"/>
      <c r="J17" s="90"/>
      <c r="K17" s="90"/>
      <c r="L17" s="90"/>
      <c r="M17" s="91"/>
      <c r="N17" s="91"/>
      <c r="O17" s="91"/>
      <c r="P17" s="91"/>
      <c r="Q17" s="91"/>
      <c r="R17" s="92" t="s">
        <v>104</v>
      </c>
    </row>
    <row r="18" spans="2:18" ht="15">
      <c r="B18" s="74"/>
      <c r="C18" s="93"/>
      <c r="D18" s="94"/>
      <c r="E18" s="94"/>
      <c r="F18" s="94"/>
      <c r="G18" s="95"/>
      <c r="H18" s="96" t="s">
        <v>114</v>
      </c>
      <c r="I18" s="97"/>
      <c r="J18" s="97"/>
      <c r="K18" s="97"/>
      <c r="L18" s="98"/>
      <c r="M18" s="96" t="s">
        <v>115</v>
      </c>
      <c r="N18" s="97"/>
      <c r="O18" s="97"/>
      <c r="P18" s="97"/>
      <c r="Q18" s="98"/>
      <c r="R18" s="99"/>
    </row>
    <row r="19" spans="2:18" ht="54.75" customHeight="1">
      <c r="B19" s="74"/>
      <c r="C19" s="100" t="s">
        <v>105</v>
      </c>
      <c r="D19" s="100" t="s">
        <v>106</v>
      </c>
      <c r="E19" s="100" t="s">
        <v>107</v>
      </c>
      <c r="F19" s="100" t="s">
        <v>108</v>
      </c>
      <c r="G19" s="100" t="s">
        <v>109</v>
      </c>
      <c r="H19" s="101" t="s">
        <v>93</v>
      </c>
      <c r="I19" s="101" t="s">
        <v>94</v>
      </c>
      <c r="J19" s="101" t="s">
        <v>90</v>
      </c>
      <c r="K19" s="101" t="s">
        <v>91</v>
      </c>
      <c r="L19" s="101" t="s">
        <v>110</v>
      </c>
      <c r="M19" s="101" t="s">
        <v>116</v>
      </c>
      <c r="N19" s="101" t="s">
        <v>117</v>
      </c>
      <c r="O19" s="101" t="s">
        <v>107</v>
      </c>
      <c r="P19" s="101" t="s">
        <v>108</v>
      </c>
      <c r="Q19" s="101" t="s">
        <v>110</v>
      </c>
      <c r="R19" s="102"/>
    </row>
    <row r="20" spans="2:18" ht="12.75">
      <c r="B20" s="77">
        <v>1</v>
      </c>
      <c r="C20" s="103">
        <v>2</v>
      </c>
      <c r="D20" s="103">
        <v>3</v>
      </c>
      <c r="E20" s="103" t="s">
        <v>96</v>
      </c>
      <c r="F20" s="103">
        <v>5</v>
      </c>
      <c r="G20" s="103" t="s">
        <v>97</v>
      </c>
      <c r="H20" s="104">
        <v>7</v>
      </c>
      <c r="I20" s="104">
        <v>8</v>
      </c>
      <c r="J20" s="104" t="s">
        <v>111</v>
      </c>
      <c r="K20" s="104">
        <v>10</v>
      </c>
      <c r="L20" s="104" t="s">
        <v>112</v>
      </c>
      <c r="M20" s="104">
        <v>12</v>
      </c>
      <c r="N20" s="104">
        <v>13</v>
      </c>
      <c r="O20" s="104" t="s">
        <v>118</v>
      </c>
      <c r="P20" s="104">
        <v>15</v>
      </c>
      <c r="Q20" s="104" t="s">
        <v>119</v>
      </c>
      <c r="R20" s="78" t="s">
        <v>120</v>
      </c>
    </row>
    <row r="21" spans="2:18" ht="15">
      <c r="B21" s="79">
        <v>41456</v>
      </c>
      <c r="C21" s="105">
        <v>0</v>
      </c>
      <c r="D21" s="105">
        <v>0.68</v>
      </c>
      <c r="E21" s="105">
        <f aca="true" t="shared" si="6" ref="E21:E26">C21+D21</f>
        <v>0.68</v>
      </c>
      <c r="F21" s="106">
        <v>1454.15</v>
      </c>
      <c r="G21" s="106">
        <f aca="true" t="shared" si="7" ref="G21:G26">E21*F21</f>
        <v>988.8220000000001</v>
      </c>
      <c r="H21" s="107">
        <v>335.25</v>
      </c>
      <c r="I21" s="107">
        <v>11</v>
      </c>
      <c r="J21" s="107">
        <f aca="true" t="shared" si="8" ref="J21:J26">H21+I21</f>
        <v>346.25</v>
      </c>
      <c r="K21" s="107">
        <v>25.08</v>
      </c>
      <c r="L21" s="108">
        <f aca="true" t="shared" si="9" ref="L21:L26">J21*K21</f>
        <v>8683.949999999999</v>
      </c>
      <c r="M21" s="107">
        <v>22.13</v>
      </c>
      <c r="N21" s="107">
        <v>0.73</v>
      </c>
      <c r="O21" s="107">
        <f aca="true" t="shared" si="10" ref="O21:O26">M21+N21</f>
        <v>22.86</v>
      </c>
      <c r="P21" s="107">
        <v>1455.69</v>
      </c>
      <c r="Q21" s="108">
        <f aca="true" t="shared" si="11" ref="Q21:Q26">O21*P21</f>
        <v>33277.0734</v>
      </c>
      <c r="R21" s="84">
        <f aca="true" t="shared" si="12" ref="R21:R26">G21+L21+Q21</f>
        <v>42949.8454</v>
      </c>
    </row>
    <row r="22" spans="2:18" ht="15">
      <c r="B22" s="79">
        <v>41487</v>
      </c>
      <c r="C22" s="105">
        <v>0</v>
      </c>
      <c r="D22" s="105">
        <v>1</v>
      </c>
      <c r="E22" s="105">
        <f t="shared" si="6"/>
        <v>1</v>
      </c>
      <c r="F22" s="106">
        <v>1454.15</v>
      </c>
      <c r="G22" s="106">
        <f t="shared" si="7"/>
        <v>1454.15</v>
      </c>
      <c r="H22" s="107">
        <v>491</v>
      </c>
      <c r="I22" s="107">
        <v>16.11</v>
      </c>
      <c r="J22" s="107">
        <f t="shared" si="8"/>
        <v>507.11</v>
      </c>
      <c r="K22" s="107">
        <v>25.08</v>
      </c>
      <c r="L22" s="108">
        <f t="shared" si="9"/>
        <v>12718.3188</v>
      </c>
      <c r="M22" s="107">
        <v>32.41</v>
      </c>
      <c r="N22" s="107">
        <v>1.06</v>
      </c>
      <c r="O22" s="107">
        <f t="shared" si="10"/>
        <v>33.47</v>
      </c>
      <c r="P22" s="107">
        <v>1455.69</v>
      </c>
      <c r="Q22" s="108">
        <f t="shared" si="11"/>
        <v>48721.9443</v>
      </c>
      <c r="R22" s="84">
        <f t="shared" si="12"/>
        <v>62894.413100000005</v>
      </c>
    </row>
    <row r="23" spans="2:18" ht="15">
      <c r="B23" s="79">
        <v>41518</v>
      </c>
      <c r="C23" s="105">
        <v>9.35</v>
      </c>
      <c r="D23" s="105">
        <v>0.92</v>
      </c>
      <c r="E23" s="105">
        <f t="shared" si="6"/>
        <v>10.27</v>
      </c>
      <c r="F23" s="106">
        <v>1454.15</v>
      </c>
      <c r="G23" s="106">
        <f t="shared" si="7"/>
        <v>14934.1205</v>
      </c>
      <c r="H23" s="107">
        <v>468.49</v>
      </c>
      <c r="I23" s="107">
        <v>15.37</v>
      </c>
      <c r="J23" s="107">
        <f t="shared" si="8"/>
        <v>483.86</v>
      </c>
      <c r="K23" s="107">
        <v>25.08</v>
      </c>
      <c r="L23" s="108">
        <f t="shared" si="9"/>
        <v>12135.2088</v>
      </c>
      <c r="M23" s="107">
        <v>30.92</v>
      </c>
      <c r="N23" s="107">
        <v>1.01</v>
      </c>
      <c r="O23" s="107">
        <f t="shared" si="10"/>
        <v>31.930000000000003</v>
      </c>
      <c r="P23" s="107">
        <v>1455.69</v>
      </c>
      <c r="Q23" s="108">
        <f t="shared" si="11"/>
        <v>46480.18170000001</v>
      </c>
      <c r="R23" s="84">
        <f t="shared" si="12"/>
        <v>73549.51100000001</v>
      </c>
    </row>
    <row r="24" spans="2:18" ht="15">
      <c r="B24" s="79">
        <v>41548</v>
      </c>
      <c r="C24" s="105">
        <v>59.43</v>
      </c>
      <c r="D24" s="105">
        <v>1</v>
      </c>
      <c r="E24" s="105">
        <f t="shared" si="6"/>
        <v>60.43</v>
      </c>
      <c r="F24" s="106">
        <v>1454.15</v>
      </c>
      <c r="G24" s="106">
        <f t="shared" si="7"/>
        <v>87874.28450000001</v>
      </c>
      <c r="H24" s="107">
        <v>491</v>
      </c>
      <c r="I24" s="107">
        <v>16.11</v>
      </c>
      <c r="J24" s="107">
        <f t="shared" si="8"/>
        <v>507.11</v>
      </c>
      <c r="K24" s="107">
        <v>25.08</v>
      </c>
      <c r="L24" s="108">
        <f t="shared" si="9"/>
        <v>12718.3188</v>
      </c>
      <c r="M24" s="107">
        <v>32.41</v>
      </c>
      <c r="N24" s="107">
        <v>1.06</v>
      </c>
      <c r="O24" s="107">
        <f t="shared" si="10"/>
        <v>33.47</v>
      </c>
      <c r="P24" s="107">
        <v>1455.69</v>
      </c>
      <c r="Q24" s="108">
        <f t="shared" si="11"/>
        <v>48721.9443</v>
      </c>
      <c r="R24" s="84">
        <f t="shared" si="12"/>
        <v>149314.5476</v>
      </c>
    </row>
    <row r="25" spans="2:18" ht="15">
      <c r="B25" s="79">
        <v>41579</v>
      </c>
      <c r="C25" s="105">
        <v>60.07</v>
      </c>
      <c r="D25" s="105">
        <v>0</v>
      </c>
      <c r="E25" s="105">
        <f t="shared" si="6"/>
        <v>60.07</v>
      </c>
      <c r="F25" s="106">
        <v>1454.15</v>
      </c>
      <c r="G25" s="106">
        <f t="shared" si="7"/>
        <v>87350.7905</v>
      </c>
      <c r="H25" s="107">
        <v>491</v>
      </c>
      <c r="I25" s="107">
        <v>16.11</v>
      </c>
      <c r="J25" s="107">
        <f t="shared" si="8"/>
        <v>507.11</v>
      </c>
      <c r="K25" s="107">
        <v>25.08</v>
      </c>
      <c r="L25" s="108">
        <f t="shared" si="9"/>
        <v>12718.3188</v>
      </c>
      <c r="M25" s="107">
        <v>32.41</v>
      </c>
      <c r="N25" s="107">
        <v>1.06</v>
      </c>
      <c r="O25" s="107">
        <f t="shared" si="10"/>
        <v>33.47</v>
      </c>
      <c r="P25" s="107">
        <v>1455.69</v>
      </c>
      <c r="Q25" s="108">
        <f t="shared" si="11"/>
        <v>48721.9443</v>
      </c>
      <c r="R25" s="84">
        <f t="shared" si="12"/>
        <v>148791.05359999998</v>
      </c>
    </row>
    <row r="26" spans="2:18" ht="15">
      <c r="B26" s="79">
        <v>41609</v>
      </c>
      <c r="C26" s="105">
        <v>91.12</v>
      </c>
      <c r="D26" s="105">
        <v>0</v>
      </c>
      <c r="E26" s="105">
        <f t="shared" si="6"/>
        <v>91.12</v>
      </c>
      <c r="F26" s="106">
        <v>1454.15</v>
      </c>
      <c r="G26" s="106">
        <f t="shared" si="7"/>
        <v>132502.14800000002</v>
      </c>
      <c r="H26" s="107">
        <v>489.68</v>
      </c>
      <c r="I26" s="107">
        <v>16.07</v>
      </c>
      <c r="J26" s="107">
        <f t="shared" si="8"/>
        <v>505.75</v>
      </c>
      <c r="K26" s="107">
        <v>25.08</v>
      </c>
      <c r="L26" s="108">
        <f t="shared" si="9"/>
        <v>12684.21</v>
      </c>
      <c r="M26" s="107">
        <v>32.32</v>
      </c>
      <c r="N26" s="107">
        <v>1.06</v>
      </c>
      <c r="O26" s="107">
        <f t="shared" si="10"/>
        <v>33.38</v>
      </c>
      <c r="P26" s="107">
        <v>1455.69</v>
      </c>
      <c r="Q26" s="108">
        <f t="shared" si="11"/>
        <v>48590.9322</v>
      </c>
      <c r="R26" s="84">
        <f t="shared" si="12"/>
        <v>193777.29020000002</v>
      </c>
    </row>
    <row r="27" spans="2:18" ht="15">
      <c r="B27" s="85" t="s">
        <v>101</v>
      </c>
      <c r="C27" s="109">
        <f>SUM(C21:C26)</f>
        <v>219.97</v>
      </c>
      <c r="D27" s="109">
        <f>SUM(D21:D26)</f>
        <v>3.6</v>
      </c>
      <c r="E27" s="109">
        <f>SUM(E21:E26)</f>
        <v>223.57</v>
      </c>
      <c r="F27" s="110"/>
      <c r="G27" s="110">
        <f>SUM(G21:G26)</f>
        <v>325104.3155</v>
      </c>
      <c r="H27" s="111">
        <f>SUM(H21:H26)</f>
        <v>2766.4199999999996</v>
      </c>
      <c r="I27" s="111">
        <f>SUM(I21:I26)</f>
        <v>90.76999999999998</v>
      </c>
      <c r="J27" s="111">
        <f>SUM(J21:J26)</f>
        <v>2857.19</v>
      </c>
      <c r="K27" s="112"/>
      <c r="L27" s="112">
        <f>SUM(L21:L26)</f>
        <v>71658.32519999999</v>
      </c>
      <c r="M27" s="111">
        <f>SUM(M21:M26)</f>
        <v>182.59999999999997</v>
      </c>
      <c r="N27" s="111">
        <f>SUM(N21:N26)</f>
        <v>5.98</v>
      </c>
      <c r="O27" s="111">
        <f>SUM(O21:O26)</f>
        <v>188.57999999999998</v>
      </c>
      <c r="P27" s="112"/>
      <c r="Q27" s="112">
        <f>SUM(Q21:Q26)</f>
        <v>274514.0202</v>
      </c>
      <c r="R27" s="84">
        <f>SUM(R21:R26)</f>
        <v>671276.6609</v>
      </c>
    </row>
    <row r="29" ht="12.75">
      <c r="E29" s="113" t="s">
        <v>121</v>
      </c>
    </row>
    <row r="30" spans="2:5" ht="12.75">
      <c r="B30" s="114" t="s">
        <v>122</v>
      </c>
      <c r="C30" s="115" t="s">
        <v>102</v>
      </c>
      <c r="D30" s="115" t="s">
        <v>103</v>
      </c>
      <c r="E30" s="115" t="s">
        <v>123</v>
      </c>
    </row>
    <row r="31" spans="2:5" ht="12.75">
      <c r="B31" s="116"/>
      <c r="C31" s="83">
        <f>G14+G27</f>
        <v>787295.5797</v>
      </c>
      <c r="D31" s="83">
        <f>L14+L27+Q27</f>
        <v>778510.251</v>
      </c>
      <c r="E31" s="83">
        <f>C31+D31</f>
        <v>1565805.8307</v>
      </c>
    </row>
    <row r="33" ht="12.75">
      <c r="E33" s="69">
        <f>M14+R27</f>
        <v>1565805.8306999998</v>
      </c>
    </row>
  </sheetData>
  <sheetProtection/>
  <mergeCells count="11">
    <mergeCell ref="R17:R19"/>
    <mergeCell ref="H18:L18"/>
    <mergeCell ref="M18:Q18"/>
    <mergeCell ref="B30:B31"/>
    <mergeCell ref="B5:B6"/>
    <mergeCell ref="C5:G5"/>
    <mergeCell ref="H5:L5"/>
    <mergeCell ref="M5:M6"/>
    <mergeCell ref="B17:B19"/>
    <mergeCell ref="C17:G18"/>
    <mergeCell ref="H17:Q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58">
      <selection activeCell="A73" sqref="A73:I73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124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'[10]Sheet1'!$N$15</f>
        <v>121128</v>
      </c>
      <c r="D9" s="21">
        <f>'[10]Sheet1'!$R$15</f>
        <v>128138</v>
      </c>
      <c r="E9" s="21">
        <f>D9-C9</f>
        <v>7010</v>
      </c>
      <c r="F9" s="21">
        <f>'[10]Sheet1'!$T$15</f>
        <v>121128</v>
      </c>
      <c r="G9" s="21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62"/>
      <c r="I11" s="62"/>
    </row>
    <row r="12" spans="2:9" ht="13.5" thickBot="1">
      <c r="B12" s="26" t="s">
        <v>16</v>
      </c>
      <c r="C12" s="27">
        <f>C9</f>
        <v>121128</v>
      </c>
      <c r="D12" s="27">
        <f>D9</f>
        <v>128138</v>
      </c>
      <c r="E12" s="27">
        <f>E9</f>
        <v>7010</v>
      </c>
      <c r="F12" s="27">
        <f>F9</f>
        <v>121128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18</v>
      </c>
      <c r="C14" s="31">
        <f>'[10]Sheet1'!$N$18</f>
        <v>46631</v>
      </c>
      <c r="D14" s="31">
        <f>'[10]Sheet1'!$R$18</f>
        <v>49330</v>
      </c>
      <c r="E14" s="31">
        <f aca="true" t="shared" si="0" ref="E14:E20">D14-C14</f>
        <v>2699</v>
      </c>
      <c r="F14" s="31">
        <f>'[10]Sheet1'!$T$18</f>
        <v>46631</v>
      </c>
      <c r="G14" s="31">
        <f aca="true" t="shared" si="1" ref="G14:G20">C14-F14</f>
        <v>0</v>
      </c>
      <c r="H14" s="62"/>
      <c r="I14" s="62"/>
    </row>
    <row r="15" spans="2:9" ht="19.5" customHeight="1" thickBot="1">
      <c r="B15" s="24" t="s">
        <v>19</v>
      </c>
      <c r="C15" s="31">
        <f>'[10]Sheet1'!$N$19</f>
        <v>4016</v>
      </c>
      <c r="D15" s="31">
        <f>'[10]Sheet1'!$R$19</f>
        <v>4249</v>
      </c>
      <c r="E15" s="31">
        <f t="shared" si="0"/>
        <v>233</v>
      </c>
      <c r="F15" s="31">
        <f>'[10]Sheet1'!$T$19</f>
        <v>4016</v>
      </c>
      <c r="G15" s="31">
        <f t="shared" si="1"/>
        <v>0</v>
      </c>
      <c r="H15" s="62"/>
      <c r="I15" s="62"/>
    </row>
    <row r="16" spans="2:9" ht="21" customHeight="1" thickBot="1">
      <c r="B16" s="24" t="s">
        <v>20</v>
      </c>
      <c r="C16" s="31">
        <f>'[10]Sheet1'!$N$20</f>
        <v>9090</v>
      </c>
      <c r="D16" s="31">
        <f>'[10]Sheet1'!$R$20</f>
        <v>9616</v>
      </c>
      <c r="E16" s="31">
        <f t="shared" si="0"/>
        <v>526</v>
      </c>
      <c r="F16" s="31">
        <f>'[10]Sheet1'!$T$20</f>
        <v>9090</v>
      </c>
      <c r="G16" s="31">
        <f t="shared" si="1"/>
        <v>0</v>
      </c>
      <c r="H16" s="62"/>
      <c r="I16" s="62"/>
    </row>
    <row r="17" spans="2:9" ht="17.25" customHeight="1" thickBot="1">
      <c r="B17" s="24" t="s">
        <v>56</v>
      </c>
      <c r="C17" s="31">
        <v>0</v>
      </c>
      <c r="D17" s="31">
        <v>0</v>
      </c>
      <c r="E17" s="31">
        <f t="shared" si="0"/>
        <v>0</v>
      </c>
      <c r="F17" s="31">
        <f>C17</f>
        <v>0</v>
      </c>
      <c r="G17" s="31">
        <f t="shared" si="1"/>
        <v>0</v>
      </c>
      <c r="H17" s="62"/>
      <c r="I17" s="62"/>
    </row>
    <row r="18" spans="2:9" ht="17.25" customHeight="1" thickBot="1">
      <c r="B18" s="24" t="s">
        <v>57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f t="shared" si="1"/>
        <v>0</v>
      </c>
      <c r="H18" s="62"/>
      <c r="I18" s="62"/>
    </row>
    <row r="19" spans="2:9" ht="25.5" customHeight="1" thickBot="1">
      <c r="B19" s="24" t="s">
        <v>21</v>
      </c>
      <c r="C19" s="31">
        <f>'[10]Sheet1'!$N$26</f>
        <v>82709</v>
      </c>
      <c r="D19" s="31">
        <f>'[10]Sheet1'!$R$26</f>
        <v>87496</v>
      </c>
      <c r="E19" s="31">
        <f t="shared" si="0"/>
        <v>4787</v>
      </c>
      <c r="F19" s="31">
        <f>'[10]Sheet1'!$T$26</f>
        <v>82709</v>
      </c>
      <c r="G19" s="31">
        <f t="shared" si="1"/>
        <v>0</v>
      </c>
      <c r="H19" s="62"/>
      <c r="I19" s="62"/>
    </row>
    <row r="20" spans="2:9" ht="25.5" customHeight="1" thickBot="1">
      <c r="B20" s="24" t="s">
        <v>22</v>
      </c>
      <c r="C20" s="31">
        <f>'[10]Sheet1'!$N$41+'[10]Sheet1'!$N$42</f>
        <v>14573</v>
      </c>
      <c r="D20" s="31">
        <f>'[10]Sheet1'!$R$41+'[10]Sheet1'!$R$42</f>
        <v>15416</v>
      </c>
      <c r="E20" s="31">
        <f t="shared" si="0"/>
        <v>843</v>
      </c>
      <c r="F20" s="31">
        <f>'[10]Sheet1'!$T$41+'[10]Sheet1'!$T$42</f>
        <v>14573</v>
      </c>
      <c r="G20" s="31">
        <f t="shared" si="1"/>
        <v>0</v>
      </c>
      <c r="H20" s="62"/>
      <c r="I20" s="62"/>
    </row>
    <row r="21" spans="2:9" ht="13.5" thickBot="1">
      <c r="B21" s="26" t="s">
        <v>16</v>
      </c>
      <c r="C21" s="27">
        <f>SUM(C14:C20)</f>
        <v>157019</v>
      </c>
      <c r="D21" s="27">
        <f>SUM(D14:D20)</f>
        <v>166107</v>
      </c>
      <c r="E21" s="27">
        <f>SUM(E14:E20)</f>
        <v>9088</v>
      </c>
      <c r="F21" s="27">
        <f>SUM(F14:F20)</f>
        <v>157019</v>
      </c>
      <c r="G21" s="27">
        <f>SUM(G14:G20)</f>
        <v>0</v>
      </c>
      <c r="H21" s="62"/>
      <c r="I21" s="62"/>
    </row>
    <row r="22" spans="2:9" ht="13.5" thickBot="1">
      <c r="B22" s="32" t="s">
        <v>23</v>
      </c>
      <c r="C22" s="27">
        <f>C12+C21</f>
        <v>278147</v>
      </c>
      <c r="D22" s="27">
        <f>D12+D21</f>
        <v>294245</v>
      </c>
      <c r="E22" s="27">
        <f>E12+E21</f>
        <v>16098</v>
      </c>
      <c r="F22" s="27">
        <f>F12+F21</f>
        <v>278147</v>
      </c>
      <c r="G22" s="27">
        <f>G12+G21</f>
        <v>0</v>
      </c>
      <c r="H22" s="62"/>
      <c r="I22" s="62"/>
    </row>
    <row r="23" spans="2:9" ht="12.75">
      <c r="B23" s="33"/>
      <c r="C23" s="62"/>
      <c r="D23" s="62"/>
      <c r="E23" s="62"/>
      <c r="F23" s="62"/>
      <c r="G23" s="62"/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3.5" thickBot="1">
      <c r="B25" s="10" t="s">
        <v>24</v>
      </c>
      <c r="C25" s="62"/>
      <c r="D25" s="62"/>
      <c r="E25" s="62"/>
      <c r="F25" s="62"/>
      <c r="G25" s="62"/>
      <c r="H25" s="62"/>
      <c r="I25" s="62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62"/>
      <c r="I26" s="62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62"/>
      <c r="I27" s="62"/>
    </row>
    <row r="28" spans="2:9" ht="38.25" customHeight="1" thickBot="1">
      <c r="B28" s="24" t="s">
        <v>27</v>
      </c>
      <c r="C28" s="36">
        <f>'[10]Sheet1'!$N$12</f>
        <v>218096</v>
      </c>
      <c r="D28" s="36">
        <f>'[10]Sheet1'!$R$12</f>
        <v>230720</v>
      </c>
      <c r="E28" s="36">
        <f>D28-C28</f>
        <v>12624</v>
      </c>
      <c r="F28" s="36">
        <f>'[10]Sheet1'!$U$12</f>
        <v>189155</v>
      </c>
      <c r="G28" s="36">
        <f>C28-F28</f>
        <v>28941</v>
      </c>
      <c r="H28" s="63"/>
      <c r="I28" s="62"/>
    </row>
    <row r="29" spans="2:9" ht="13.5" thickBot="1">
      <c r="B29" s="26" t="s">
        <v>28</v>
      </c>
      <c r="C29" s="37">
        <f>C28</f>
        <v>218096</v>
      </c>
      <c r="D29" s="37">
        <f>D28</f>
        <v>230720</v>
      </c>
      <c r="E29" s="37">
        <f>E28</f>
        <v>12624</v>
      </c>
      <c r="F29" s="37">
        <f>F28</f>
        <v>189155</v>
      </c>
      <c r="G29" s="37">
        <f>G28</f>
        <v>28941</v>
      </c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'[10]Sheet1'!$N$33</f>
        <v>233002</v>
      </c>
      <c r="D35" s="21">
        <f>'[10]Sheet1'!$R$33</f>
        <v>246488</v>
      </c>
      <c r="E35" s="21">
        <f>D35-C35</f>
        <v>13486</v>
      </c>
      <c r="F35" s="21">
        <f>C35</f>
        <v>233002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1036813.68</v>
      </c>
      <c r="D37" s="21">
        <f>983963.16+35854.13</f>
        <v>1019817.29</v>
      </c>
      <c r="E37" s="21">
        <f>D37-C37</f>
        <v>-16996.390000000014</v>
      </c>
      <c r="F37" s="21">
        <f>'[10]Sheet1'!$T$36</f>
        <v>1094570</v>
      </c>
      <c r="G37" s="21">
        <f>C37-F37</f>
        <v>-57756.31999999995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1269815.6800000002</v>
      </c>
      <c r="D39" s="37">
        <f>D35+D37</f>
        <v>1266305.29</v>
      </c>
      <c r="E39" s="37">
        <f>E35+E37</f>
        <v>-3510.390000000014</v>
      </c>
      <c r="F39" s="37">
        <f>F35+F37</f>
        <v>1327572</v>
      </c>
      <c r="G39" s="37">
        <f>G35+G37</f>
        <v>-57756.31999999995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25211.609999999986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(E22+E29)</f>
        <v>28722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-3510.390000000014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40</v>
      </c>
      <c r="C47" s="64"/>
      <c r="D47" s="64"/>
      <c r="E47" s="65"/>
      <c r="F47" s="51"/>
      <c r="G47" s="44">
        <f>F49+F50</f>
        <v>-57756.31999999995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IF((G22+G29)&lt;=0,G22+G29,0)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-57756.31999999995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66</v>
      </c>
      <c r="C52" s="64"/>
      <c r="D52" s="64"/>
      <c r="E52" s="65"/>
      <c r="F52" s="51"/>
      <c r="G52" s="44">
        <f>F54+F55</f>
        <v>28941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IF((G22+G29)&gt;0,G22+G29,0)</f>
        <v>28941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125</v>
      </c>
      <c r="C61" s="11"/>
      <c r="D61" s="11"/>
      <c r="E61" s="11"/>
      <c r="F61" s="56">
        <f>G47+G52+G58</f>
        <v>-26087.49999999995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-109440.63-174017</f>
        <v>-283457.63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63</v>
      </c>
      <c r="C69" s="58"/>
      <c r="D69" s="58"/>
      <c r="E69" s="11"/>
      <c r="F69" s="56">
        <f>F61+F65</f>
        <v>-309545.12999999995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9" ht="12.75">
      <c r="B72" s="33"/>
      <c r="C72" s="62"/>
      <c r="D72" s="62"/>
      <c r="E72" s="62"/>
      <c r="F72" s="62"/>
      <c r="G72" s="62"/>
      <c r="H72" s="62"/>
      <c r="I72" s="62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3:G13"/>
    <mergeCell ref="B35:B36"/>
    <mergeCell ref="C35:C36"/>
    <mergeCell ref="D35:D36"/>
    <mergeCell ref="E35:E36"/>
    <mergeCell ref="F35:F36"/>
    <mergeCell ref="G35:G36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126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6" ht="15.75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'[11]Sheet1'!$N$15</f>
        <v>79820</v>
      </c>
      <c r="D10" s="21">
        <f>'[11]Sheet1'!$R$15</f>
        <v>94986</v>
      </c>
      <c r="E10" s="21">
        <f>D10-C10</f>
        <v>15166</v>
      </c>
      <c r="F10" s="21">
        <f>'[11]Sheet1'!$T$15</f>
        <v>79820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79820</v>
      </c>
      <c r="D13" s="27">
        <f>D10</f>
        <v>94986</v>
      </c>
      <c r="E13" s="27">
        <f>E10</f>
        <v>15166</v>
      </c>
      <c r="F13" s="27">
        <f>F10</f>
        <v>79820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18</v>
      </c>
      <c r="C15" s="31">
        <f>'[11]Sheet1'!$N$18</f>
        <v>27026</v>
      </c>
      <c r="D15" s="31">
        <f>'[11]Sheet1'!$R$18</f>
        <v>32161</v>
      </c>
      <c r="E15" s="31">
        <f aca="true" t="shared" si="0" ref="E15:E21">D15-C15</f>
        <v>5135</v>
      </c>
      <c r="F15" s="31">
        <f>'[11]Sheet1'!$T$18</f>
        <v>27026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'[11]Sheet1'!$N$19</f>
        <v>1785</v>
      </c>
      <c r="D16" s="31">
        <f>'[11]Sheet1'!$R$19</f>
        <v>2124</v>
      </c>
      <c r="E16" s="31">
        <f t="shared" si="0"/>
        <v>339</v>
      </c>
      <c r="F16" s="31">
        <f>'[11]Sheet1'!$T$19</f>
        <v>1785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'[11]Sheet1'!$N$20</f>
        <v>7649</v>
      </c>
      <c r="D17" s="31">
        <f>'[11]Sheet1'!$R$20</f>
        <v>9102</v>
      </c>
      <c r="E17" s="31">
        <f t="shared" si="0"/>
        <v>1453</v>
      </c>
      <c r="F17" s="31">
        <f>'[11]Sheet1'!$T$20</f>
        <v>7649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'[11]Sheet1'!$N$25</f>
        <v>139287</v>
      </c>
      <c r="D18" s="31">
        <f>'[11]Sheet1'!$R$25</f>
        <v>165753</v>
      </c>
      <c r="E18" s="31">
        <f t="shared" si="0"/>
        <v>26466</v>
      </c>
      <c r="F18" s="31">
        <f>C18</f>
        <v>139287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'[11]Sheet1'!$N$24</f>
        <v>35695</v>
      </c>
      <c r="D19" s="31">
        <f>'[11]Sheet1'!$R$24</f>
        <v>42478</v>
      </c>
      <c r="E19" s="31">
        <f t="shared" si="0"/>
        <v>6783</v>
      </c>
      <c r="F19" s="31">
        <f>'[11]Sheet1'!$T$24</f>
        <v>35695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'[11]Sheet1'!$N$26</f>
        <v>72156</v>
      </c>
      <c r="D20" s="31">
        <f>'[11]Sheet1'!$R$26</f>
        <v>85866</v>
      </c>
      <c r="E20" s="31">
        <f t="shared" si="0"/>
        <v>13710</v>
      </c>
      <c r="F20" s="31">
        <f>'[11]Sheet1'!$T$26</f>
        <v>72156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'[11]Sheet1'!$N$41+'[11]Sheet1'!$N$42</f>
        <v>8415</v>
      </c>
      <c r="D21" s="31">
        <f>'[11]Sheet1'!$R$41+'[11]Sheet1'!$R$42</f>
        <v>10013</v>
      </c>
      <c r="E21" s="31">
        <f t="shared" si="0"/>
        <v>1598</v>
      </c>
      <c r="F21" s="31">
        <f>'[11]Sheet1'!$T$41+'[11]Sheet1'!$T$42</f>
        <v>8415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SUM(C15:C21)</f>
        <v>292013</v>
      </c>
      <c r="D22" s="27">
        <f>SUM(D15:D21)</f>
        <v>347497</v>
      </c>
      <c r="E22" s="27">
        <f>SUM(E15:E21)</f>
        <v>55484</v>
      </c>
      <c r="F22" s="27">
        <f>SUM(F15:F21)</f>
        <v>292013</v>
      </c>
      <c r="G22" s="27">
        <f>SUM(G15:G21)</f>
        <v>0</v>
      </c>
      <c r="H22" s="62"/>
      <c r="I22" s="62"/>
    </row>
    <row r="23" spans="2:9" ht="13.5" thickBot="1">
      <c r="B23" s="32" t="s">
        <v>23</v>
      </c>
      <c r="C23" s="27">
        <f>C13+C22</f>
        <v>371833</v>
      </c>
      <c r="D23" s="27">
        <f>D13+D22</f>
        <v>442483</v>
      </c>
      <c r="E23" s="27">
        <f>E13+E22</f>
        <v>70650</v>
      </c>
      <c r="F23" s="27">
        <f>F13+F22</f>
        <v>371833</v>
      </c>
      <c r="G23" s="27">
        <f>G13+G22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3.5" thickBot="1">
      <c r="B25" s="10" t="s">
        <v>24</v>
      </c>
      <c r="C25" s="62"/>
      <c r="D25" s="62"/>
      <c r="E25" s="62"/>
      <c r="F25" s="62"/>
      <c r="G25" s="62"/>
      <c r="H25" s="62"/>
      <c r="I25" s="62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62"/>
      <c r="I26" s="62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62"/>
      <c r="I27" s="62"/>
    </row>
    <row r="28" spans="2:9" ht="38.25" customHeight="1" thickBot="1">
      <c r="B28" s="24" t="s">
        <v>27</v>
      </c>
      <c r="C28" s="36">
        <f>'[11]Sheet1'!$N$12</f>
        <v>162543</v>
      </c>
      <c r="D28" s="36">
        <f>'[11]Sheet1'!$R$12</f>
        <v>193428</v>
      </c>
      <c r="E28" s="36">
        <f>D28-C28</f>
        <v>30885</v>
      </c>
      <c r="F28" s="36">
        <v>280118</v>
      </c>
      <c r="G28" s="36">
        <f>C28-F28</f>
        <v>-117575</v>
      </c>
      <c r="H28" s="63"/>
      <c r="I28" s="62"/>
    </row>
    <row r="29" spans="2:9" ht="13.5" thickBot="1">
      <c r="B29" s="26" t="s">
        <v>28</v>
      </c>
      <c r="C29" s="37">
        <f>C28</f>
        <v>162543</v>
      </c>
      <c r="D29" s="37">
        <f>D28</f>
        <v>193428</v>
      </c>
      <c r="E29" s="37">
        <f>E28</f>
        <v>30885</v>
      </c>
      <c r="F29" s="37">
        <f>F28</f>
        <v>280118</v>
      </c>
      <c r="G29" s="37">
        <f>G28</f>
        <v>-117575</v>
      </c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3.5" thickBot="1">
      <c r="B31" s="10" t="s">
        <v>29</v>
      </c>
      <c r="C31" s="62"/>
      <c r="D31" s="62"/>
      <c r="E31" s="62"/>
      <c r="F31" s="62"/>
      <c r="G31" s="62"/>
      <c r="H31" s="62"/>
      <c r="I31" s="62"/>
    </row>
    <row r="32" spans="2:9" ht="103.5" customHeight="1" thickBot="1">
      <c r="B32" s="34" t="s">
        <v>4</v>
      </c>
      <c r="C32" s="13" t="s">
        <v>30</v>
      </c>
      <c r="D32" s="39" t="s">
        <v>31</v>
      </c>
      <c r="E32" s="35" t="s">
        <v>7</v>
      </c>
      <c r="F32" s="13" t="s">
        <v>32</v>
      </c>
      <c r="G32" s="34" t="s">
        <v>9</v>
      </c>
      <c r="H32" s="62"/>
      <c r="I32" s="62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62"/>
      <c r="I33" s="62"/>
    </row>
    <row r="34" spans="2:9" ht="16.5" customHeight="1">
      <c r="B34" s="40" t="s">
        <v>33</v>
      </c>
      <c r="C34" s="21">
        <f>'[11]Sheet1'!$N$33</f>
        <v>162963</v>
      </c>
      <c r="D34" s="21">
        <f>'[11]Sheet1'!$R$33</f>
        <v>193928</v>
      </c>
      <c r="E34" s="21">
        <f>D34-C34</f>
        <v>30965</v>
      </c>
      <c r="F34" s="21">
        <f>C34</f>
        <v>162963</v>
      </c>
      <c r="G34" s="21">
        <f>C34-F34</f>
        <v>0</v>
      </c>
      <c r="H34" s="62"/>
      <c r="I34" s="62"/>
    </row>
    <row r="35" spans="2:9" ht="24" customHeight="1" thickBot="1">
      <c r="B35" s="41"/>
      <c r="C35" s="42"/>
      <c r="D35" s="42"/>
      <c r="E35" s="42"/>
      <c r="F35" s="42"/>
      <c r="G35" s="42"/>
      <c r="H35" s="62"/>
      <c r="I35" s="62"/>
    </row>
    <row r="36" spans="2:9" ht="17.25" customHeight="1">
      <c r="B36" s="40" t="s">
        <v>34</v>
      </c>
      <c r="C36" s="21">
        <f>580362.88</f>
        <v>580362.88</v>
      </c>
      <c r="D36" s="21">
        <f>565966.91+50520.16</f>
        <v>616487.0700000001</v>
      </c>
      <c r="E36" s="21">
        <f>D36-C36</f>
        <v>36124.19000000006</v>
      </c>
      <c r="F36" s="21">
        <f>'[11]Sheet1'!$T$36</f>
        <v>949908</v>
      </c>
      <c r="G36" s="21">
        <f>C36-F36</f>
        <v>-369545.12</v>
      </c>
      <c r="H36" s="62"/>
      <c r="I36" s="62"/>
    </row>
    <row r="37" spans="2:9" ht="13.5" thickBot="1">
      <c r="B37" s="41"/>
      <c r="C37" s="42"/>
      <c r="D37" s="42"/>
      <c r="E37" s="42"/>
      <c r="F37" s="42"/>
      <c r="G37" s="42"/>
      <c r="H37" s="62"/>
      <c r="I37" s="62"/>
    </row>
    <row r="38" spans="2:9" ht="13.5" thickBot="1">
      <c r="B38" s="32" t="s">
        <v>35</v>
      </c>
      <c r="C38" s="37">
        <f>C34+C36</f>
        <v>743325.88</v>
      </c>
      <c r="D38" s="37">
        <f>D34+D36</f>
        <v>810415.0700000001</v>
      </c>
      <c r="E38" s="37">
        <f>E34+E36</f>
        <v>67089.19000000006</v>
      </c>
      <c r="F38" s="37">
        <f>F34+F36</f>
        <v>1112871</v>
      </c>
      <c r="G38" s="37">
        <f>G34+G36</f>
        <v>-369545.12</v>
      </c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43" t="s">
        <v>79</v>
      </c>
      <c r="C41" s="62"/>
      <c r="D41" s="62"/>
      <c r="E41" s="62"/>
      <c r="F41" s="62"/>
      <c r="G41" s="44">
        <f>F43+F44</f>
        <v>168624.19000000006</v>
      </c>
      <c r="H41" s="62"/>
      <c r="I41" s="62"/>
    </row>
    <row r="42" spans="2:9" ht="12.75">
      <c r="B42" s="45" t="s">
        <v>37</v>
      </c>
      <c r="C42" s="63"/>
      <c r="D42" s="62"/>
      <c r="E42" s="62"/>
      <c r="F42" s="62"/>
      <c r="G42" s="62"/>
      <c r="H42" s="62"/>
      <c r="I42" s="62"/>
    </row>
    <row r="43" spans="2:9" ht="12.75">
      <c r="B43" s="46" t="s">
        <v>58</v>
      </c>
      <c r="C43" s="62"/>
      <c r="D43" s="62"/>
      <c r="E43" s="62"/>
      <c r="F43" s="47">
        <f>(E23+E29)</f>
        <v>101535</v>
      </c>
      <c r="G43" s="62"/>
      <c r="H43" s="62"/>
      <c r="I43" s="62"/>
    </row>
    <row r="44" spans="2:9" ht="12.75">
      <c r="B44" s="46" t="s">
        <v>59</v>
      </c>
      <c r="C44" s="62"/>
      <c r="D44" s="62"/>
      <c r="E44" s="62"/>
      <c r="F44" s="47">
        <f>(E38)</f>
        <v>67089.19000000006</v>
      </c>
      <c r="G44" s="62"/>
      <c r="H44" s="62"/>
      <c r="I44" s="62"/>
    </row>
    <row r="45" spans="2:9" ht="12.75">
      <c r="B45" s="46"/>
      <c r="C45" s="62"/>
      <c r="D45" s="62"/>
      <c r="E45" s="62"/>
      <c r="F45" s="47"/>
      <c r="G45" s="62"/>
      <c r="H45" s="62"/>
      <c r="I45" s="62"/>
    </row>
    <row r="46" spans="2:9" s="1" customFormat="1" ht="12.75">
      <c r="B46" s="48" t="s">
        <v>40</v>
      </c>
      <c r="C46" s="64"/>
      <c r="D46" s="64"/>
      <c r="E46" s="65"/>
      <c r="F46" s="51"/>
      <c r="G46" s="44">
        <f>F48+F49</f>
        <v>-487120.12</v>
      </c>
      <c r="H46" s="64"/>
      <c r="I46" s="64"/>
    </row>
    <row r="47" spans="2:9" s="1" customFormat="1" ht="12.75">
      <c r="B47" s="45" t="s">
        <v>37</v>
      </c>
      <c r="C47" s="64"/>
      <c r="D47" s="64"/>
      <c r="E47" s="65"/>
      <c r="F47" s="51"/>
      <c r="G47" s="52"/>
      <c r="H47" s="64"/>
      <c r="I47" s="64"/>
    </row>
    <row r="48" spans="2:9" s="1" customFormat="1" ht="12.75">
      <c r="B48" s="46" t="s">
        <v>41</v>
      </c>
      <c r="C48" s="64"/>
      <c r="D48" s="64"/>
      <c r="E48" s="65"/>
      <c r="F48" s="47">
        <f>IF((G23+G29)&lt;=0,G23+G29,0)</f>
        <v>-117575</v>
      </c>
      <c r="G48" s="52"/>
      <c r="H48" s="64"/>
      <c r="I48" s="64"/>
    </row>
    <row r="49" spans="2:9" s="1" customFormat="1" ht="12.75">
      <c r="B49" s="46" t="s">
        <v>42</v>
      </c>
      <c r="C49" s="64"/>
      <c r="D49" s="64"/>
      <c r="E49" s="65"/>
      <c r="F49" s="47">
        <f>IF(G38&lt;=0,G38,0)</f>
        <v>-369545.12</v>
      </c>
      <c r="G49" s="52"/>
      <c r="H49" s="64"/>
      <c r="I49" s="64"/>
    </row>
    <row r="50" spans="2:9" s="1" customFormat="1" ht="12.75">
      <c r="B50" s="46"/>
      <c r="C50" s="64"/>
      <c r="D50" s="64"/>
      <c r="E50" s="65"/>
      <c r="F50" s="51"/>
      <c r="G50" s="52"/>
      <c r="H50" s="64"/>
      <c r="I50" s="64"/>
    </row>
    <row r="51" spans="2:9" s="1" customFormat="1" ht="12.75">
      <c r="B51" s="48" t="s">
        <v>60</v>
      </c>
      <c r="C51" s="64"/>
      <c r="D51" s="64"/>
      <c r="E51" s="65"/>
      <c r="F51" s="51"/>
      <c r="G51" s="44">
        <f>F53+F54</f>
        <v>0</v>
      </c>
      <c r="H51" s="64"/>
      <c r="I51" s="64"/>
    </row>
    <row r="52" spans="2:9" ht="12.75">
      <c r="B52" s="45" t="s">
        <v>37</v>
      </c>
      <c r="C52" s="62"/>
      <c r="D52" s="62"/>
      <c r="E52" s="62"/>
      <c r="F52" s="33"/>
      <c r="G52" s="52"/>
      <c r="H52" s="62"/>
      <c r="I52" s="62"/>
    </row>
    <row r="53" spans="2:9" ht="12.75">
      <c r="B53" s="46" t="s">
        <v>41</v>
      </c>
      <c r="C53" s="62"/>
      <c r="D53" s="62"/>
      <c r="E53" s="62"/>
      <c r="F53" s="47">
        <f>IF((G23+G29)&gt;0,G23+G29,0)</f>
        <v>0</v>
      </c>
      <c r="G53" s="62"/>
      <c r="H53" s="62"/>
      <c r="I53" s="62"/>
    </row>
    <row r="54" spans="2:9" ht="12.75">
      <c r="B54" s="46" t="s">
        <v>42</v>
      </c>
      <c r="C54" s="62"/>
      <c r="D54" s="62"/>
      <c r="E54" s="62"/>
      <c r="F54" s="47">
        <f>IF(G38&gt;0,G38,0)</f>
        <v>0</v>
      </c>
      <c r="G54" s="62"/>
      <c r="H54" s="62"/>
      <c r="I54" s="62"/>
    </row>
    <row r="55" spans="2:9" ht="12.75">
      <c r="B55" s="46"/>
      <c r="C55" s="62"/>
      <c r="D55" s="62"/>
      <c r="E55" s="62"/>
      <c r="F55" s="47"/>
      <c r="G55" s="62"/>
      <c r="H55" s="62"/>
      <c r="I55" s="62"/>
    </row>
    <row r="56" spans="2:9" ht="12.75">
      <c r="B56" s="53" t="s">
        <v>44</v>
      </c>
      <c r="C56" s="11"/>
      <c r="D56" s="11"/>
      <c r="E56" s="11"/>
      <c r="F56" s="33"/>
      <c r="G56" s="11"/>
      <c r="H56" s="11"/>
      <c r="I56" s="11"/>
    </row>
    <row r="57" spans="2:9" ht="12.75">
      <c r="B57" s="33" t="s">
        <v>45</v>
      </c>
      <c r="C57" s="11"/>
      <c r="D57" s="11"/>
      <c r="E57" s="54"/>
      <c r="F57" s="51"/>
      <c r="G57" s="44">
        <f>1627.82+400+700+1800*1</f>
        <v>4527.82</v>
      </c>
      <c r="H57" s="11"/>
      <c r="I57" s="11"/>
    </row>
    <row r="58" spans="2:9" ht="12.75">
      <c r="B58" s="10"/>
      <c r="C58" s="11"/>
      <c r="D58" s="11"/>
      <c r="E58" s="11"/>
      <c r="F58" s="11"/>
      <c r="G58" s="11"/>
      <c r="H58" s="11"/>
      <c r="I58" s="11"/>
    </row>
    <row r="59" spans="2:9" ht="12.75">
      <c r="B59" s="46"/>
      <c r="C59" s="11"/>
      <c r="D59" s="11"/>
      <c r="E59" s="11"/>
      <c r="F59" s="47"/>
      <c r="G59" s="11"/>
      <c r="H59" s="11"/>
      <c r="I59" s="11"/>
    </row>
    <row r="60" spans="2:9" ht="15.75">
      <c r="B60" s="55" t="s">
        <v>61</v>
      </c>
      <c r="C60" s="11"/>
      <c r="D60" s="11"/>
      <c r="E60" s="11"/>
      <c r="F60" s="56">
        <f>G46+G51+G57</f>
        <v>-482592.3</v>
      </c>
      <c r="G60" s="56" t="s">
        <v>47</v>
      </c>
      <c r="H60" s="11"/>
      <c r="I60" s="11"/>
    </row>
    <row r="61" spans="2:9" ht="12.75">
      <c r="B61" s="57" t="s">
        <v>48</v>
      </c>
      <c r="C61" s="11"/>
      <c r="D61" s="11"/>
      <c r="E61" s="11"/>
      <c r="F61" s="47"/>
      <c r="G61" s="11"/>
      <c r="H61" s="11"/>
      <c r="I61" s="11"/>
    </row>
    <row r="62" spans="2:9" ht="12.75">
      <c r="B62" s="57" t="s">
        <v>49</v>
      </c>
      <c r="C62" s="11"/>
      <c r="D62" s="11"/>
      <c r="E62" s="11"/>
      <c r="F62" s="47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5.75">
      <c r="B64" s="55" t="s">
        <v>50</v>
      </c>
      <c r="C64" s="11"/>
      <c r="D64" s="11"/>
      <c r="E64" s="11"/>
      <c r="F64" s="56">
        <f>-34174.35-61595.55</f>
        <v>-95769.9</v>
      </c>
      <c r="G64" s="56" t="s">
        <v>47</v>
      </c>
      <c r="H64" s="11"/>
      <c r="I64" s="11"/>
    </row>
    <row r="65" spans="2:9" ht="12.75">
      <c r="B65" s="57" t="s">
        <v>51</v>
      </c>
      <c r="C65" s="11"/>
      <c r="D65" s="11"/>
      <c r="E65" s="11"/>
      <c r="F65" s="47"/>
      <c r="G65" s="11"/>
      <c r="H65" s="11"/>
      <c r="I65" s="11"/>
    </row>
    <row r="66" spans="2:9" ht="12.75">
      <c r="B66" s="57" t="s">
        <v>52</v>
      </c>
      <c r="C66" s="11"/>
      <c r="D66" s="11"/>
      <c r="E66" s="11"/>
      <c r="F66" s="47"/>
      <c r="G66" s="11"/>
      <c r="H66" s="11"/>
      <c r="I66" s="11"/>
    </row>
    <row r="67" spans="2:9" ht="12.75">
      <c r="B67" s="46"/>
      <c r="C67" s="62"/>
      <c r="D67" s="62"/>
      <c r="E67" s="62"/>
      <c r="F67" s="47"/>
      <c r="G67" s="62"/>
      <c r="H67" s="62"/>
      <c r="I67" s="62"/>
    </row>
    <row r="68" spans="1:9" ht="15.75">
      <c r="A68" s="11"/>
      <c r="B68" s="58" t="s">
        <v>63</v>
      </c>
      <c r="C68" s="58"/>
      <c r="D68" s="58"/>
      <c r="E68" s="11"/>
      <c r="F68" s="56">
        <f>F60+F64</f>
        <v>-578362.2</v>
      </c>
      <c r="G68" s="56" t="s">
        <v>47</v>
      </c>
      <c r="H68" s="11"/>
      <c r="I68" s="11"/>
    </row>
    <row r="69" spans="1:9" ht="12.75">
      <c r="A69" s="11"/>
      <c r="B69" s="38" t="s">
        <v>48</v>
      </c>
      <c r="C69" s="38"/>
      <c r="D69" s="11"/>
      <c r="E69" s="11"/>
      <c r="F69" s="47"/>
      <c r="G69" s="11"/>
      <c r="H69" s="11"/>
      <c r="I69" s="11"/>
    </row>
    <row r="70" spans="1:9" ht="12.75">
      <c r="A70" s="11"/>
      <c r="B70" s="38" t="s">
        <v>49</v>
      </c>
      <c r="C70" s="11"/>
      <c r="D70" s="11"/>
      <c r="E70" s="11"/>
      <c r="F70" s="47"/>
      <c r="G70" s="11"/>
      <c r="H70" s="11"/>
      <c r="I70" s="11"/>
    </row>
    <row r="71" spans="1:9" ht="12.75">
      <c r="A71" s="11"/>
      <c r="B71" s="38"/>
      <c r="C71" s="11"/>
      <c r="D71" s="11"/>
      <c r="E71" s="11"/>
      <c r="F71" s="47"/>
      <c r="G71" s="11"/>
      <c r="H71" s="11"/>
      <c r="I71" s="11"/>
    </row>
    <row r="72" spans="1:9" ht="12.75">
      <c r="A72" s="11"/>
      <c r="B72" s="38"/>
      <c r="C72" s="11"/>
      <c r="D72" s="11"/>
      <c r="E72" s="11"/>
      <c r="F72" s="47"/>
      <c r="G72" s="11"/>
      <c r="H72" s="11"/>
      <c r="I72" s="11"/>
    </row>
    <row r="73" s="33" customFormat="1" ht="12.75">
      <c r="C73" s="59" t="s">
        <v>54</v>
      </c>
    </row>
    <row r="74" spans="2:6" ht="15">
      <c r="B74" s="60"/>
      <c r="C74" s="61"/>
      <c r="D74" s="61"/>
      <c r="E74" s="61"/>
      <c r="F74" s="61"/>
    </row>
    <row r="75" spans="2:6" ht="14.25">
      <c r="B75" s="61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4:G14"/>
    <mergeCell ref="B34:B35"/>
    <mergeCell ref="C34:C35"/>
    <mergeCell ref="D34:D35"/>
    <mergeCell ref="E34:E35"/>
    <mergeCell ref="F34:F35"/>
    <mergeCell ref="G34:G35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46">
      <selection activeCell="J65" sqref="J65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127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1.25" customHeight="1">
      <c r="B4" s="8"/>
      <c r="C4" s="9"/>
      <c r="D4" s="9"/>
      <c r="E4" s="9"/>
      <c r="F4" s="9"/>
    </row>
    <row r="5" spans="2:6" ht="10.5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'[12]Sheet1'!$N$15</f>
        <v>136021</v>
      </c>
      <c r="D10" s="21">
        <f>'[12]Sheet1'!$R$15</f>
        <v>151036</v>
      </c>
      <c r="E10" s="21">
        <f>D10-C10</f>
        <v>15015</v>
      </c>
      <c r="F10" s="21">
        <f>'[12]Sheet1'!$T$15</f>
        <v>136021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136021</v>
      </c>
      <c r="D13" s="27">
        <f>D10</f>
        <v>151036</v>
      </c>
      <c r="E13" s="27">
        <f>E10</f>
        <v>15015</v>
      </c>
      <c r="F13" s="27">
        <f>F10</f>
        <v>136021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'[12]Sheet1'!$N$18</f>
        <v>40549</v>
      </c>
      <c r="D16" s="31">
        <f>'[12]Sheet1'!$R$18</f>
        <v>45026</v>
      </c>
      <c r="E16" s="31">
        <f aca="true" t="shared" si="0" ref="E16:E22">D16-C16</f>
        <v>4477</v>
      </c>
      <c r="F16" s="31">
        <f>'[12]Sheet1'!$T$18</f>
        <v>40549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'[12]Sheet1'!$N$19</f>
        <v>2678</v>
      </c>
      <c r="D17" s="31">
        <f>'[12]Sheet1'!$R$19</f>
        <v>2973</v>
      </c>
      <c r="E17" s="31">
        <f t="shared" si="0"/>
        <v>295</v>
      </c>
      <c r="F17" s="31">
        <f>'[12]Sheet1'!$T$19</f>
        <v>2678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'[12]Sheet1'!$N$20</f>
        <v>11476</v>
      </c>
      <c r="D18" s="31">
        <f>'[12]Sheet1'!$R$20</f>
        <v>12743</v>
      </c>
      <c r="E18" s="31">
        <f t="shared" si="0"/>
        <v>1267</v>
      </c>
      <c r="F18" s="31">
        <f>'[12]Sheet1'!$T$20</f>
        <v>11476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f>'[12]Sheet1'!$N$25</f>
        <v>183040</v>
      </c>
      <c r="D19" s="31">
        <f>'[12]Sheet1'!$R$25</f>
        <v>203246</v>
      </c>
      <c r="E19" s="31">
        <f t="shared" si="0"/>
        <v>20206</v>
      </c>
      <c r="F19" s="31">
        <f>C19</f>
        <v>183040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f>'[12]Sheet1'!$N$24</f>
        <v>53555</v>
      </c>
      <c r="D20" s="31">
        <f>'[12]Sheet1'!$R$24</f>
        <v>59467</v>
      </c>
      <c r="E20" s="31">
        <f t="shared" si="0"/>
        <v>5912</v>
      </c>
      <c r="F20" s="31">
        <f>'[12]Sheet1'!$T$24</f>
        <v>53555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'[12]Sheet1'!$N$26</f>
        <v>108260</v>
      </c>
      <c r="D21" s="31">
        <f>'[12]Sheet1'!$R$26</f>
        <v>120210</v>
      </c>
      <c r="E21" s="31">
        <f t="shared" si="0"/>
        <v>11950</v>
      </c>
      <c r="F21" s="31">
        <f>'[12]Sheet1'!$T$26</f>
        <v>108260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'[12]Sheet1'!$N$41+'[12]Sheet1'!$N$42</f>
        <v>12624</v>
      </c>
      <c r="D22" s="31">
        <f>'[12]Sheet1'!$R$41+'[12]Sheet1'!$R$42</f>
        <v>14019</v>
      </c>
      <c r="E22" s="31">
        <f t="shared" si="0"/>
        <v>1395</v>
      </c>
      <c r="F22" s="31">
        <f>'[12]Sheet1'!$T$41+'[12]Sheet1'!$T$42</f>
        <v>12624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412182</v>
      </c>
      <c r="D23" s="27">
        <f>SUM(D15:D22)</f>
        <v>457684</v>
      </c>
      <c r="E23" s="27">
        <f>SUM(E15:E22)</f>
        <v>45502</v>
      </c>
      <c r="F23" s="27">
        <f>SUM(F15:F22)</f>
        <v>412182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548203</v>
      </c>
      <c r="D24" s="27">
        <f>D13+D23</f>
        <v>608720</v>
      </c>
      <c r="E24" s="27">
        <f>E13+E23</f>
        <v>60517</v>
      </c>
      <c r="F24" s="27">
        <f>F13+F23</f>
        <v>548203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'[12]Sheet1'!$N$12</f>
        <v>248013</v>
      </c>
      <c r="D29" s="36">
        <f>'[12]Sheet1'!$R$12</f>
        <v>275391</v>
      </c>
      <c r="E29" s="36">
        <f>D29-C29</f>
        <v>27378</v>
      </c>
      <c r="F29" s="36">
        <f>'[12]Sheet1'!$U$12</f>
        <v>87662</v>
      </c>
      <c r="G29" s="36">
        <f>C29-F29</f>
        <v>160351</v>
      </c>
      <c r="H29" s="63"/>
      <c r="I29" s="62"/>
    </row>
    <row r="30" spans="2:9" ht="13.5" thickBot="1">
      <c r="B30" s="26" t="s">
        <v>28</v>
      </c>
      <c r="C30" s="37">
        <f>C29</f>
        <v>248013</v>
      </c>
      <c r="D30" s="37">
        <f>D29</f>
        <v>275391</v>
      </c>
      <c r="E30" s="37">
        <f>E29</f>
        <v>27378</v>
      </c>
      <c r="F30" s="37">
        <f>F29</f>
        <v>87662</v>
      </c>
      <c r="G30" s="37">
        <f>G29</f>
        <v>160351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'[12]Sheet1'!$N$33</f>
        <v>220431</v>
      </c>
      <c r="D35" s="21">
        <f>'[12]Sheet1'!$R$33</f>
        <v>244764</v>
      </c>
      <c r="E35" s="21">
        <f>D35-C35</f>
        <v>24333</v>
      </c>
      <c r="F35" s="21">
        <f>C35</f>
        <v>220431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870104</v>
      </c>
      <c r="D37" s="21">
        <f>824524.5+47269.85</f>
        <v>871794.35</v>
      </c>
      <c r="E37" s="21">
        <f>D37-C37</f>
        <v>1690.3499999999767</v>
      </c>
      <c r="F37" s="21">
        <f>'[12]Sheet1'!$T$36</f>
        <v>1168765</v>
      </c>
      <c r="G37" s="21">
        <f>C37-F37</f>
        <v>-298661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1090535</v>
      </c>
      <c r="D39" s="37">
        <f>D35+D37</f>
        <v>1116558.35</v>
      </c>
      <c r="E39" s="37">
        <f>E35+E37</f>
        <v>26023.349999999977</v>
      </c>
      <c r="F39" s="37">
        <f>F35+F37</f>
        <v>1389196</v>
      </c>
      <c r="G39" s="37">
        <f>G35+G37</f>
        <v>-298661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113918.34999999998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87895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26023.349999999977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40</v>
      </c>
      <c r="C47" s="64"/>
      <c r="D47" s="64"/>
      <c r="E47" s="65"/>
      <c r="F47" s="51"/>
      <c r="G47" s="44">
        <f>F49+F50</f>
        <v>-298661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-298661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160351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160351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1627.82+400+700+1800*2</f>
        <v>6327.82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61</v>
      </c>
      <c r="C61" s="11"/>
      <c r="D61" s="11"/>
      <c r="E61" s="11"/>
      <c r="F61" s="56">
        <f>G47+G52+G58</f>
        <v>-131982.18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-207754.26-56339.01</f>
        <v>-264093.27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-396075.45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6" ht="14.25">
      <c r="B73" s="61"/>
      <c r="C73" s="61"/>
      <c r="D73" s="61"/>
      <c r="E73" s="61"/>
      <c r="F73" s="61"/>
    </row>
    <row r="74" spans="2:6" ht="14.25">
      <c r="B74" s="61"/>
      <c r="C74" s="61"/>
      <c r="D74" s="61"/>
      <c r="E74" s="61"/>
      <c r="F74" s="61"/>
    </row>
    <row r="75" spans="2:6" ht="14.25">
      <c r="B75" s="61"/>
      <c r="C75" s="61"/>
      <c r="D75" s="61"/>
      <c r="E75" s="61"/>
      <c r="F75" s="61"/>
    </row>
    <row r="76" s="33" customFormat="1" ht="12.75">
      <c r="C76" s="59" t="s">
        <v>54</v>
      </c>
    </row>
    <row r="77" spans="2:6" ht="15">
      <c r="B77" s="60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46">
      <selection activeCell="I54" sqref="I54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128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'[13]Sheet1'!$N$15</f>
        <v>135035</v>
      </c>
      <c r="D9" s="21">
        <f>'[13]Sheet1'!$R$15</f>
        <v>144141</v>
      </c>
      <c r="E9" s="21">
        <f>D9-C9</f>
        <v>9106</v>
      </c>
      <c r="F9" s="21">
        <f>'[13]Sheet1'!$T$15</f>
        <v>135035</v>
      </c>
      <c r="G9" s="21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62"/>
      <c r="I11" s="62"/>
    </row>
    <row r="12" spans="2:9" ht="13.5" thickBot="1">
      <c r="B12" s="26" t="s">
        <v>16</v>
      </c>
      <c r="C12" s="27">
        <f>C9</f>
        <v>135035</v>
      </c>
      <c r="D12" s="27">
        <f>D9</f>
        <v>144141</v>
      </c>
      <c r="E12" s="27">
        <f>E9</f>
        <v>9106</v>
      </c>
      <c r="F12" s="27">
        <f>F9</f>
        <v>135035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68</v>
      </c>
      <c r="C14" s="31">
        <f>'[13]Sheet1'!$N$17</f>
        <v>71466</v>
      </c>
      <c r="D14" s="31">
        <f>'[13]Sheet1'!$R$17</f>
        <v>76285</v>
      </c>
      <c r="E14" s="31">
        <f>D14-C14</f>
        <v>4819</v>
      </c>
      <c r="F14" s="31">
        <f>C14</f>
        <v>71466</v>
      </c>
      <c r="G14" s="31">
        <f>C14-F14</f>
        <v>0</v>
      </c>
      <c r="H14" s="62"/>
      <c r="I14" s="62"/>
    </row>
    <row r="15" spans="2:9" ht="27" customHeight="1" thickBot="1">
      <c r="B15" s="24" t="s">
        <v>18</v>
      </c>
      <c r="C15" s="31">
        <f>'[13]Sheet1'!$N$18</f>
        <v>40415</v>
      </c>
      <c r="D15" s="31">
        <f>'[13]Sheet1'!$R$18</f>
        <v>43140</v>
      </c>
      <c r="E15" s="31">
        <f aca="true" t="shared" si="0" ref="E15:E21">D15-C15</f>
        <v>2725</v>
      </c>
      <c r="F15" s="31">
        <f>'[13]Sheet1'!$T$18</f>
        <v>40415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'[13]Sheet1'!$N$19</f>
        <v>2669</v>
      </c>
      <c r="D16" s="31">
        <f>'[13]Sheet1'!$R$19</f>
        <v>2849</v>
      </c>
      <c r="E16" s="31">
        <f t="shared" si="0"/>
        <v>180</v>
      </c>
      <c r="F16" s="31">
        <f>'[13]Sheet1'!$T$19</f>
        <v>2669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'[13]Sheet1'!$N$20</f>
        <v>11438</v>
      </c>
      <c r="D17" s="31">
        <f>'[13]Sheet1'!$R$20</f>
        <v>12209</v>
      </c>
      <c r="E17" s="31">
        <f t="shared" si="0"/>
        <v>771</v>
      </c>
      <c r="F17" s="31">
        <f>'[13]Sheet1'!$T$20</f>
        <v>11438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'[13]Sheet1'!$N$25</f>
        <v>182229</v>
      </c>
      <c r="D18" s="31">
        <f>'[13]Sheet1'!$R$25</f>
        <v>194518</v>
      </c>
      <c r="E18" s="31">
        <f t="shared" si="0"/>
        <v>12289</v>
      </c>
      <c r="F18" s="31">
        <f>C18</f>
        <v>182229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'[13]Sheet1'!$N$24</f>
        <v>52895</v>
      </c>
      <c r="D19" s="31">
        <f>'[13]Sheet1'!$R$24</f>
        <v>56461</v>
      </c>
      <c r="E19" s="31">
        <f t="shared" si="0"/>
        <v>3566</v>
      </c>
      <c r="F19" s="31">
        <f>'[13]Sheet1'!$T$24</f>
        <v>52895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'[13]Sheet1'!$N$26</f>
        <v>107899</v>
      </c>
      <c r="D20" s="31">
        <f>'[13]Sheet1'!$R$26</f>
        <v>115175</v>
      </c>
      <c r="E20" s="31">
        <f t="shared" si="0"/>
        <v>7276</v>
      </c>
      <c r="F20" s="31">
        <f>'[13]Sheet1'!$T$26</f>
        <v>107899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'[13]Sheet1'!$N$41+'[13]Sheet1'!$N$42</f>
        <v>12582</v>
      </c>
      <c r="D21" s="31">
        <f>'[13]Sheet1'!$R$41+'[13]Sheet1'!$R$42</f>
        <v>13430</v>
      </c>
      <c r="E21" s="31">
        <f t="shared" si="0"/>
        <v>848</v>
      </c>
      <c r="F21" s="31">
        <f>'[13]Sheet1'!$T$41+'[13]Sheet1'!$T$42</f>
        <v>12582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SUM(C14:C21)</f>
        <v>481593</v>
      </c>
      <c r="D22" s="27">
        <f>SUM(D14:D21)</f>
        <v>514067</v>
      </c>
      <c r="E22" s="27">
        <f>SUM(E14:E21)</f>
        <v>32474</v>
      </c>
      <c r="F22" s="27">
        <f>SUM(F14:F21)</f>
        <v>481593</v>
      </c>
      <c r="G22" s="27">
        <f>SUM(G14:G21)</f>
        <v>0</v>
      </c>
      <c r="H22" s="62"/>
      <c r="I22" s="62"/>
    </row>
    <row r="23" spans="2:9" ht="13.5" thickBot="1">
      <c r="B23" s="32" t="s">
        <v>23</v>
      </c>
      <c r="C23" s="27">
        <f>C12+C22</f>
        <v>616628</v>
      </c>
      <c r="D23" s="27">
        <f>D12+D22</f>
        <v>658208</v>
      </c>
      <c r="E23" s="27">
        <f>E12+E22</f>
        <v>41580</v>
      </c>
      <c r="F23" s="27">
        <f>F12+F22</f>
        <v>616628</v>
      </c>
      <c r="G23" s="27">
        <f>G12+G22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'[13]Sheet1'!$N$12</f>
        <v>254032</v>
      </c>
      <c r="D29" s="36">
        <f>'[13]Sheet1'!$R$12</f>
        <v>271162</v>
      </c>
      <c r="E29" s="36">
        <f>D29-C29</f>
        <v>17130</v>
      </c>
      <c r="F29" s="36">
        <f>'[13]Sheet1'!$U$12</f>
        <v>41861</v>
      </c>
      <c r="G29" s="36">
        <f>C29-F29</f>
        <v>212171</v>
      </c>
      <c r="H29" s="63"/>
      <c r="I29" s="62"/>
    </row>
    <row r="30" spans="2:9" ht="13.5" thickBot="1">
      <c r="B30" s="26" t="s">
        <v>28</v>
      </c>
      <c r="C30" s="37">
        <f>C29</f>
        <v>254032</v>
      </c>
      <c r="D30" s="37">
        <f>D29</f>
        <v>271162</v>
      </c>
      <c r="E30" s="37">
        <f>E29</f>
        <v>17130</v>
      </c>
      <c r="F30" s="37">
        <f>F29</f>
        <v>41861</v>
      </c>
      <c r="G30" s="37">
        <f>G29</f>
        <v>212171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2.75">
      <c r="B32" s="38"/>
      <c r="C32" s="62"/>
      <c r="D32" s="62"/>
      <c r="E32" s="62"/>
      <c r="F32" s="62"/>
      <c r="G32" s="62"/>
      <c r="H32" s="62"/>
      <c r="I32" s="62"/>
    </row>
    <row r="33" spans="2:9" ht="13.5" thickBot="1">
      <c r="B33" s="10" t="s">
        <v>29</v>
      </c>
      <c r="C33" s="62"/>
      <c r="D33" s="62"/>
      <c r="E33" s="62"/>
      <c r="F33" s="62"/>
      <c r="G33" s="62"/>
      <c r="H33" s="62"/>
      <c r="I33" s="62"/>
    </row>
    <row r="34" spans="2:9" ht="103.5" customHeight="1" thickBot="1">
      <c r="B34" s="34" t="s">
        <v>4</v>
      </c>
      <c r="C34" s="13" t="s">
        <v>30</v>
      </c>
      <c r="D34" s="39" t="s">
        <v>31</v>
      </c>
      <c r="E34" s="35" t="s">
        <v>7</v>
      </c>
      <c r="F34" s="13" t="s">
        <v>32</v>
      </c>
      <c r="G34" s="34" t="s">
        <v>9</v>
      </c>
      <c r="H34" s="62"/>
      <c r="I34" s="62"/>
    </row>
    <row r="35" spans="2:9" ht="13.5" customHeight="1" thickBot="1">
      <c r="B35" s="14">
        <v>1</v>
      </c>
      <c r="C35" s="15">
        <v>2</v>
      </c>
      <c r="D35" s="15">
        <v>3</v>
      </c>
      <c r="E35" s="15" t="s">
        <v>10</v>
      </c>
      <c r="F35" s="15">
        <v>5</v>
      </c>
      <c r="G35" s="16" t="s">
        <v>11</v>
      </c>
      <c r="H35" s="62"/>
      <c r="I35" s="62"/>
    </row>
    <row r="36" spans="2:9" ht="16.5" customHeight="1">
      <c r="B36" s="40" t="s">
        <v>33</v>
      </c>
      <c r="C36" s="21">
        <f>'[13]Sheet1'!$N$33</f>
        <v>251417</v>
      </c>
      <c r="D36" s="21">
        <f>'[13]Sheet1'!$R$33</f>
        <v>268371</v>
      </c>
      <c r="E36" s="21">
        <f>D36-C36</f>
        <v>16954</v>
      </c>
      <c r="F36" s="21">
        <f>C36</f>
        <v>251417</v>
      </c>
      <c r="G36" s="21">
        <f>C36-F36</f>
        <v>0</v>
      </c>
      <c r="H36" s="62"/>
      <c r="I36" s="62"/>
    </row>
    <row r="37" spans="2:9" ht="24" customHeight="1" thickBot="1">
      <c r="B37" s="41"/>
      <c r="C37" s="42"/>
      <c r="D37" s="42"/>
      <c r="E37" s="42"/>
      <c r="F37" s="42"/>
      <c r="G37" s="42"/>
      <c r="H37" s="62"/>
      <c r="I37" s="62"/>
    </row>
    <row r="38" spans="2:9" ht="17.25" customHeight="1">
      <c r="B38" s="40" t="s">
        <v>34</v>
      </c>
      <c r="C38" s="21">
        <f>1476642.99</f>
        <v>1476642.99</v>
      </c>
      <c r="D38" s="21">
        <f>1313869.42+115229.24</f>
        <v>1429098.66</v>
      </c>
      <c r="E38" s="21">
        <f>D38-C38</f>
        <v>-47544.330000000075</v>
      </c>
      <c r="F38" s="21">
        <f>'[13]Sheet1'!$T$36</f>
        <v>1645112</v>
      </c>
      <c r="G38" s="21">
        <f>C38-F38</f>
        <v>-168469.01</v>
      </c>
      <c r="H38" s="62"/>
      <c r="I38" s="62"/>
    </row>
    <row r="39" spans="2:9" ht="13.5" thickBot="1">
      <c r="B39" s="41"/>
      <c r="C39" s="42"/>
      <c r="D39" s="42"/>
      <c r="E39" s="42"/>
      <c r="F39" s="42"/>
      <c r="G39" s="42"/>
      <c r="H39" s="62"/>
      <c r="I39" s="62"/>
    </row>
    <row r="40" spans="2:9" ht="13.5" thickBot="1">
      <c r="B40" s="32" t="s">
        <v>35</v>
      </c>
      <c r="C40" s="37">
        <f>C36+C38</f>
        <v>1728059.99</v>
      </c>
      <c r="D40" s="37">
        <f>D36+D38</f>
        <v>1697469.66</v>
      </c>
      <c r="E40" s="37">
        <f>E36+E38</f>
        <v>-30590.330000000075</v>
      </c>
      <c r="F40" s="37">
        <f>F36+F38</f>
        <v>1896529</v>
      </c>
      <c r="G40" s="37">
        <f>G36+G38</f>
        <v>-168469.01</v>
      </c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33"/>
      <c r="C42" s="62"/>
      <c r="D42" s="62"/>
      <c r="E42" s="62"/>
      <c r="F42" s="62"/>
      <c r="G42" s="62"/>
      <c r="H42" s="62"/>
      <c r="I42" s="62"/>
    </row>
    <row r="43" spans="2:9" ht="12.75">
      <c r="B43" s="43" t="s">
        <v>36</v>
      </c>
      <c r="C43" s="62"/>
      <c r="D43" s="62"/>
      <c r="E43" s="62"/>
      <c r="F43" s="62"/>
      <c r="G43" s="44">
        <f>F45+F46</f>
        <v>28119.669999999925</v>
      </c>
      <c r="H43" s="62"/>
      <c r="I43" s="62"/>
    </row>
    <row r="44" spans="2:9" ht="12.75">
      <c r="B44" s="45" t="s">
        <v>37</v>
      </c>
      <c r="C44" s="63"/>
      <c r="D44" s="62"/>
      <c r="E44" s="62"/>
      <c r="F44" s="62"/>
      <c r="G44" s="62"/>
      <c r="H44" s="62"/>
      <c r="I44" s="62"/>
    </row>
    <row r="45" spans="2:9" ht="12.75">
      <c r="B45" s="46" t="s">
        <v>58</v>
      </c>
      <c r="C45" s="62"/>
      <c r="D45" s="62"/>
      <c r="E45" s="62"/>
      <c r="F45" s="47">
        <f>(E23+E30)</f>
        <v>58710</v>
      </c>
      <c r="G45" s="62"/>
      <c r="H45" s="62"/>
      <c r="I45" s="62"/>
    </row>
    <row r="46" spans="2:9" ht="12.75">
      <c r="B46" s="46" t="s">
        <v>59</v>
      </c>
      <c r="C46" s="62"/>
      <c r="D46" s="62"/>
      <c r="E46" s="62"/>
      <c r="F46" s="47">
        <f>(E40)</f>
        <v>-30590.330000000075</v>
      </c>
      <c r="G46" s="62"/>
      <c r="H46" s="62"/>
      <c r="I46" s="62"/>
    </row>
    <row r="47" spans="2:9" ht="12.75">
      <c r="B47" s="57" t="s">
        <v>74</v>
      </c>
      <c r="C47" s="62"/>
      <c r="D47" s="62"/>
      <c r="E47" s="62"/>
      <c r="F47" s="47"/>
      <c r="G47" s="62"/>
      <c r="H47" s="62"/>
      <c r="I47" s="62"/>
    </row>
    <row r="48" spans="2:9" ht="12.75">
      <c r="B48" s="57" t="s">
        <v>52</v>
      </c>
      <c r="C48" s="62"/>
      <c r="D48" s="62"/>
      <c r="E48" s="62"/>
      <c r="F48" s="47"/>
      <c r="G48" s="62"/>
      <c r="H48" s="62"/>
      <c r="I48" s="62"/>
    </row>
    <row r="49" spans="2:9" ht="12.75">
      <c r="B49" s="46"/>
      <c r="C49" s="62"/>
      <c r="D49" s="62"/>
      <c r="E49" s="62"/>
      <c r="F49" s="47"/>
      <c r="G49" s="62"/>
      <c r="H49" s="62"/>
      <c r="I49" s="62"/>
    </row>
    <row r="50" spans="2:9" s="1" customFormat="1" ht="12.75">
      <c r="B50" s="48" t="s">
        <v>40</v>
      </c>
      <c r="C50" s="64"/>
      <c r="D50" s="64"/>
      <c r="E50" s="65"/>
      <c r="F50" s="51"/>
      <c r="G50" s="44">
        <f>F52+F53</f>
        <v>-168469.01</v>
      </c>
      <c r="H50" s="64"/>
      <c r="I50" s="64"/>
    </row>
    <row r="51" spans="2:9" s="1" customFormat="1" ht="12.75">
      <c r="B51" s="45" t="s">
        <v>37</v>
      </c>
      <c r="C51" s="64"/>
      <c r="D51" s="64"/>
      <c r="E51" s="65"/>
      <c r="F51" s="51"/>
      <c r="G51" s="52"/>
      <c r="H51" s="64"/>
      <c r="I51" s="64"/>
    </row>
    <row r="52" spans="2:9" s="1" customFormat="1" ht="12.75">
      <c r="B52" s="46" t="s">
        <v>41</v>
      </c>
      <c r="C52" s="64"/>
      <c r="D52" s="64"/>
      <c r="E52" s="65"/>
      <c r="F52" s="47">
        <f>IF((G23+G30)&lt;=0,G23+G30,0)</f>
        <v>0</v>
      </c>
      <c r="G52" s="52"/>
      <c r="H52" s="64"/>
      <c r="I52" s="64"/>
    </row>
    <row r="53" spans="2:9" s="1" customFormat="1" ht="12.75">
      <c r="B53" s="46" t="s">
        <v>42</v>
      </c>
      <c r="C53" s="64"/>
      <c r="D53" s="64"/>
      <c r="E53" s="65"/>
      <c r="F53" s="47">
        <f>IF(G40&lt;=0,G40,0)</f>
        <v>-168469.01</v>
      </c>
      <c r="G53" s="52"/>
      <c r="H53" s="64"/>
      <c r="I53" s="64"/>
    </row>
    <row r="54" spans="2:9" s="1" customFormat="1" ht="12.75">
      <c r="B54" s="46"/>
      <c r="C54" s="64"/>
      <c r="D54" s="64"/>
      <c r="E54" s="65"/>
      <c r="F54" s="51"/>
      <c r="G54" s="52"/>
      <c r="H54" s="64"/>
      <c r="I54" s="64"/>
    </row>
    <row r="55" spans="2:9" s="1" customFormat="1" ht="12.75">
      <c r="B55" s="48" t="s">
        <v>43</v>
      </c>
      <c r="C55" s="64"/>
      <c r="D55" s="64"/>
      <c r="E55" s="65"/>
      <c r="F55" s="51"/>
      <c r="G55" s="44">
        <f>F57+F58</f>
        <v>212171</v>
      </c>
      <c r="H55" s="64"/>
      <c r="I55" s="64"/>
    </row>
    <row r="56" spans="2:9" ht="12.75">
      <c r="B56" s="45" t="s">
        <v>37</v>
      </c>
      <c r="C56" s="62"/>
      <c r="D56" s="62"/>
      <c r="E56" s="62"/>
      <c r="F56" s="33"/>
      <c r="G56" s="52"/>
      <c r="H56" s="62"/>
      <c r="I56" s="62"/>
    </row>
    <row r="57" spans="2:9" ht="12.75">
      <c r="B57" s="46" t="s">
        <v>41</v>
      </c>
      <c r="C57" s="62"/>
      <c r="D57" s="62"/>
      <c r="E57" s="62"/>
      <c r="F57" s="47">
        <f>IF((G23+G30)&gt;0,G23+G30,0)</f>
        <v>212171</v>
      </c>
      <c r="G57" s="62"/>
      <c r="H57" s="62"/>
      <c r="I57" s="62"/>
    </row>
    <row r="58" spans="2:9" ht="12.75">
      <c r="B58" s="46" t="s">
        <v>42</v>
      </c>
      <c r="C58" s="62"/>
      <c r="D58" s="62"/>
      <c r="E58" s="62"/>
      <c r="F58" s="47">
        <f>IF(G40&gt;0,G40,0)</f>
        <v>0</v>
      </c>
      <c r="G58" s="62"/>
      <c r="H58" s="62"/>
      <c r="I58" s="62"/>
    </row>
    <row r="59" spans="2:9" ht="12.75">
      <c r="B59" s="46"/>
      <c r="C59" s="62"/>
      <c r="D59" s="62"/>
      <c r="E59" s="62"/>
      <c r="F59" s="47"/>
      <c r="G59" s="62"/>
      <c r="H59" s="62"/>
      <c r="I59" s="62"/>
    </row>
    <row r="60" spans="2:9" ht="12.75">
      <c r="B60" s="53" t="s">
        <v>44</v>
      </c>
      <c r="C60" s="11"/>
      <c r="D60" s="11"/>
      <c r="E60" s="11"/>
      <c r="F60" s="33"/>
      <c r="G60" s="11"/>
      <c r="H60" s="11"/>
      <c r="I60" s="11"/>
    </row>
    <row r="61" spans="2:9" ht="12.75">
      <c r="B61" s="33" t="s">
        <v>45</v>
      </c>
      <c r="C61" s="11"/>
      <c r="D61" s="11"/>
      <c r="E61" s="54"/>
      <c r="F61" s="51"/>
      <c r="G61" s="44">
        <f>1627.82+400+700+1800*2</f>
        <v>6327.82</v>
      </c>
      <c r="H61" s="11"/>
      <c r="I61" s="11"/>
    </row>
    <row r="62" spans="2:9" ht="12.75">
      <c r="B62" s="10"/>
      <c r="C62" s="11"/>
      <c r="D62" s="11"/>
      <c r="E62" s="11"/>
      <c r="F62" s="11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5.75">
      <c r="B64" s="55" t="s">
        <v>46</v>
      </c>
      <c r="C64" s="11"/>
      <c r="D64" s="11"/>
      <c r="E64" s="11"/>
      <c r="F64" s="56">
        <f>G50+G55+G61</f>
        <v>50029.80999999999</v>
      </c>
      <c r="G64" s="56" t="s">
        <v>47</v>
      </c>
      <c r="H64" s="11"/>
      <c r="I64" s="11"/>
    </row>
    <row r="65" spans="2:9" ht="12.75">
      <c r="B65" s="57" t="s">
        <v>48</v>
      </c>
      <c r="C65" s="11"/>
      <c r="D65" s="11"/>
      <c r="E65" s="11"/>
      <c r="F65" s="47"/>
      <c r="G65" s="11"/>
      <c r="H65" s="11"/>
      <c r="I65" s="11"/>
    </row>
    <row r="66" spans="2:9" ht="12.75">
      <c r="B66" s="57" t="s">
        <v>49</v>
      </c>
      <c r="C66" s="11"/>
      <c r="D66" s="11"/>
      <c r="E66" s="11"/>
      <c r="F66" s="47"/>
      <c r="G66" s="11"/>
      <c r="H66" s="11"/>
      <c r="I66" s="11"/>
    </row>
    <row r="67" spans="2:9" ht="12.75">
      <c r="B67" s="46"/>
      <c r="C67" s="11"/>
      <c r="D67" s="11"/>
      <c r="E67" s="11"/>
      <c r="F67" s="47"/>
      <c r="G67" s="11"/>
      <c r="H67" s="11"/>
      <c r="I67" s="11"/>
    </row>
    <row r="68" spans="2:9" ht="15.75">
      <c r="B68" s="55" t="s">
        <v>50</v>
      </c>
      <c r="C68" s="11"/>
      <c r="D68" s="11"/>
      <c r="E68" s="11"/>
      <c r="F68" s="56">
        <f>-370941.49-168003.49</f>
        <v>-538944.98</v>
      </c>
      <c r="G68" s="56" t="s">
        <v>47</v>
      </c>
      <c r="H68" s="11"/>
      <c r="I68" s="11"/>
    </row>
    <row r="69" spans="2:9" ht="12.75">
      <c r="B69" s="57" t="s">
        <v>51</v>
      </c>
      <c r="C69" s="11"/>
      <c r="D69" s="11"/>
      <c r="E69" s="11"/>
      <c r="F69" s="47"/>
      <c r="G69" s="11"/>
      <c r="H69" s="11"/>
      <c r="I69" s="11"/>
    </row>
    <row r="70" spans="2:9" ht="12.75">
      <c r="B70" s="57" t="s">
        <v>52</v>
      </c>
      <c r="C70" s="11"/>
      <c r="D70" s="11"/>
      <c r="E70" s="11"/>
      <c r="F70" s="47"/>
      <c r="G70" s="11"/>
      <c r="H70" s="11"/>
      <c r="I70" s="11"/>
    </row>
    <row r="71" spans="2:9" ht="12.75">
      <c r="B71" s="33"/>
      <c r="C71" s="62"/>
      <c r="D71" s="62"/>
      <c r="E71" s="62"/>
      <c r="F71" s="62"/>
      <c r="G71" s="62"/>
      <c r="H71" s="62"/>
      <c r="I71" s="62"/>
    </row>
    <row r="72" spans="1:9" ht="15.75">
      <c r="A72" s="11"/>
      <c r="B72" s="58" t="s">
        <v>53</v>
      </c>
      <c r="C72" s="58"/>
      <c r="D72" s="58"/>
      <c r="E72" s="11"/>
      <c r="F72" s="56">
        <f>F64+F68</f>
        <v>-488915.17</v>
      </c>
      <c r="G72" s="56" t="s">
        <v>47</v>
      </c>
      <c r="H72" s="11"/>
      <c r="I72" s="11"/>
    </row>
    <row r="73" spans="1:9" ht="12.75">
      <c r="A73" s="11"/>
      <c r="B73" s="38" t="s">
        <v>48</v>
      </c>
      <c r="C73" s="38"/>
      <c r="D73" s="11"/>
      <c r="E73" s="11"/>
      <c r="F73" s="47"/>
      <c r="G73" s="11"/>
      <c r="H73" s="11"/>
      <c r="I73" s="11"/>
    </row>
    <row r="74" spans="1:9" ht="12.75">
      <c r="A74" s="11"/>
      <c r="B74" s="38" t="s">
        <v>49</v>
      </c>
      <c r="C74" s="11"/>
      <c r="D74" s="11"/>
      <c r="E74" s="11"/>
      <c r="F74" s="47"/>
      <c r="G74" s="11"/>
      <c r="H74" s="11"/>
      <c r="I74" s="11"/>
    </row>
    <row r="75" spans="2:6" ht="14.25">
      <c r="B75" s="61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1:3" s="33" customFormat="1" ht="12.75">
      <c r="A77" s="51"/>
      <c r="C77" s="59" t="s">
        <v>54</v>
      </c>
    </row>
    <row r="78" spans="2:9" ht="12.75">
      <c r="B78" s="33"/>
      <c r="C78" s="62"/>
      <c r="D78" s="62"/>
      <c r="E78" s="62"/>
      <c r="F78" s="62"/>
      <c r="G78" s="62"/>
      <c r="H78" s="62"/>
      <c r="I78" s="62"/>
    </row>
    <row r="79" spans="2:6" ht="15">
      <c r="B79" s="60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  <row r="85" spans="2:6" ht="14.25">
      <c r="B85" s="61"/>
      <c r="C85" s="61"/>
      <c r="D85" s="61"/>
      <c r="E85" s="61"/>
      <c r="F85" s="61"/>
    </row>
    <row r="86" spans="2:6" ht="14.25">
      <c r="B86" s="61"/>
      <c r="C86" s="61"/>
      <c r="D86" s="61"/>
      <c r="E86" s="61"/>
      <c r="F86" s="61"/>
    </row>
  </sheetData>
  <sheetProtection/>
  <mergeCells count="19">
    <mergeCell ref="B38:B39"/>
    <mergeCell ref="C38:C39"/>
    <mergeCell ref="D38:D39"/>
    <mergeCell ref="E38:E39"/>
    <mergeCell ref="F38:F39"/>
    <mergeCell ref="G38:G39"/>
    <mergeCell ref="B13:G13"/>
    <mergeCell ref="B36:B37"/>
    <mergeCell ref="C36:C37"/>
    <mergeCell ref="D36:D37"/>
    <mergeCell ref="E36:E37"/>
    <mergeCell ref="F36:F37"/>
    <mergeCell ref="G36:G37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3">
      <selection activeCell="F30" sqref="F30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129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'[14]Sheet1'!$N$15</f>
        <v>280324</v>
      </c>
      <c r="D9" s="21">
        <f>'[14]Sheet1'!$R$15</f>
        <v>299608</v>
      </c>
      <c r="E9" s="21">
        <f>D9-C9</f>
        <v>19284</v>
      </c>
      <c r="F9" s="21">
        <f>'[14]Sheet1'!$T$15</f>
        <v>280324</v>
      </c>
      <c r="G9" s="21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62"/>
      <c r="I11" s="62"/>
    </row>
    <row r="12" spans="2:9" ht="13.5" thickBot="1">
      <c r="B12" s="26" t="s">
        <v>16</v>
      </c>
      <c r="C12" s="27">
        <f>C9</f>
        <v>280324</v>
      </c>
      <c r="D12" s="27">
        <f>D9</f>
        <v>299608</v>
      </c>
      <c r="E12" s="27">
        <f>E9</f>
        <v>19284</v>
      </c>
      <c r="F12" s="27">
        <f>F9</f>
        <v>280324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68</v>
      </c>
      <c r="C14" s="31">
        <f>'[14]Sheet1'!$N$17</f>
        <v>84953</v>
      </c>
      <c r="D14" s="31">
        <f>'[14]Sheet1'!$R$17</f>
        <v>90797</v>
      </c>
      <c r="E14" s="31">
        <f>D14-C14</f>
        <v>5844</v>
      </c>
      <c r="F14" s="31">
        <f>C14</f>
        <v>84953</v>
      </c>
      <c r="G14" s="31">
        <f>C14-F14</f>
        <v>0</v>
      </c>
      <c r="H14" s="62"/>
      <c r="I14" s="62"/>
    </row>
    <row r="15" spans="2:9" ht="27" customHeight="1" thickBot="1">
      <c r="B15" s="24" t="s">
        <v>18</v>
      </c>
      <c r="C15" s="31">
        <f>'[14]Sheet1'!$N$18</f>
        <v>91336</v>
      </c>
      <c r="D15" s="31">
        <f>'[14]Sheet1'!$R$18</f>
        <v>97619</v>
      </c>
      <c r="E15" s="31">
        <f aca="true" t="shared" si="0" ref="E15:E21">D15-C15</f>
        <v>6283</v>
      </c>
      <c r="F15" s="31">
        <f>'[14]Sheet1'!$T$18</f>
        <v>91336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'[14]Sheet1'!$N$19</f>
        <v>6033</v>
      </c>
      <c r="D16" s="31">
        <f>'[14]Sheet1'!$R$19</f>
        <v>6448</v>
      </c>
      <c r="E16" s="31">
        <f t="shared" si="0"/>
        <v>415</v>
      </c>
      <c r="F16" s="31">
        <f>'[14]Sheet1'!$T$19</f>
        <v>6033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'[14]Sheet1'!$N$20</f>
        <v>25849</v>
      </c>
      <c r="D17" s="31">
        <f>'[14]Sheet1'!$R$20</f>
        <v>27628</v>
      </c>
      <c r="E17" s="31">
        <f t="shared" si="0"/>
        <v>1779</v>
      </c>
      <c r="F17" s="31">
        <f>'[14]Sheet1'!$T$20</f>
        <v>25849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'[14]Sheet1'!$N$25</f>
        <v>299504</v>
      </c>
      <c r="D18" s="31">
        <f>'[14]Sheet1'!$R$25</f>
        <v>320108</v>
      </c>
      <c r="E18" s="31">
        <f t="shared" si="0"/>
        <v>20604</v>
      </c>
      <c r="F18" s="31">
        <f>C18</f>
        <v>299504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'[14]Sheet1'!$N$24</f>
        <v>120229</v>
      </c>
      <c r="D19" s="31">
        <f>'[14]Sheet1'!$R$24</f>
        <v>128500</v>
      </c>
      <c r="E19" s="31">
        <f t="shared" si="0"/>
        <v>8271</v>
      </c>
      <c r="F19" s="31">
        <f>'[14]Sheet1'!$T$24</f>
        <v>120229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'[14]Sheet1'!$N$26</f>
        <v>243848</v>
      </c>
      <c r="D20" s="31">
        <f>'[14]Sheet1'!$R$26</f>
        <v>260623</v>
      </c>
      <c r="E20" s="31">
        <f t="shared" si="0"/>
        <v>16775</v>
      </c>
      <c r="F20" s="31">
        <f>'[14]Sheet1'!$T$26</f>
        <v>243848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'[14]Sheet1'!$N$41+'[14]Sheet1'!$N$42</f>
        <v>28435</v>
      </c>
      <c r="D21" s="31">
        <f>'[14]Sheet1'!$R$41+'[14]Sheet1'!$R$42</f>
        <v>30392</v>
      </c>
      <c r="E21" s="31">
        <f t="shared" si="0"/>
        <v>1957</v>
      </c>
      <c r="F21" s="31">
        <f>'[14]Sheet1'!$T$41+'[14]Sheet1'!$T$42</f>
        <v>28435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SUM(C14:C21)</f>
        <v>900187</v>
      </c>
      <c r="D22" s="27">
        <f>SUM(D14:D21)</f>
        <v>962115</v>
      </c>
      <c r="E22" s="27">
        <f>SUM(E14:E21)</f>
        <v>61928</v>
      </c>
      <c r="F22" s="27">
        <f>SUM(F14:F21)</f>
        <v>900187</v>
      </c>
      <c r="G22" s="27">
        <f>SUM(G14:G21)</f>
        <v>0</v>
      </c>
      <c r="H22" s="62"/>
      <c r="I22" s="62"/>
    </row>
    <row r="23" spans="2:9" ht="13.5" thickBot="1">
      <c r="B23" s="32" t="s">
        <v>23</v>
      </c>
      <c r="C23" s="27">
        <f>C12+C22</f>
        <v>1180511</v>
      </c>
      <c r="D23" s="27">
        <f>D12+D22</f>
        <v>1261723</v>
      </c>
      <c r="E23" s="27">
        <f>E12+E22</f>
        <v>81212</v>
      </c>
      <c r="F23" s="27">
        <f>F12+F22</f>
        <v>1180511</v>
      </c>
      <c r="G23" s="27">
        <f>G12+G22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'[14]Sheet1'!$N$12</f>
        <v>543331</v>
      </c>
      <c r="D29" s="36">
        <f>'[14]Sheet1'!$R$12</f>
        <v>580708</v>
      </c>
      <c r="E29" s="36">
        <f>D29-C29</f>
        <v>37377</v>
      </c>
      <c r="F29" s="36">
        <f>1183987-2842</f>
        <v>1181145</v>
      </c>
      <c r="G29" s="36">
        <f>C29-F29</f>
        <v>-637814</v>
      </c>
      <c r="H29" s="63"/>
      <c r="I29" s="62"/>
    </row>
    <row r="30" spans="2:9" ht="13.5" thickBot="1">
      <c r="B30" s="26" t="s">
        <v>28</v>
      </c>
      <c r="C30" s="37">
        <f>C29</f>
        <v>543331</v>
      </c>
      <c r="D30" s="37">
        <f>D29</f>
        <v>580708</v>
      </c>
      <c r="E30" s="37">
        <f>E29</f>
        <v>37377</v>
      </c>
      <c r="F30" s="37">
        <f>F29</f>
        <v>1181145</v>
      </c>
      <c r="G30" s="37">
        <f>G29</f>
        <v>-637814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2.75">
      <c r="B32" s="38"/>
      <c r="C32" s="62"/>
      <c r="D32" s="62"/>
      <c r="E32" s="62"/>
      <c r="F32" s="62"/>
      <c r="G32" s="62"/>
      <c r="H32" s="62"/>
      <c r="I32" s="62"/>
    </row>
    <row r="33" spans="2:9" ht="13.5" thickBot="1">
      <c r="B33" s="10" t="s">
        <v>29</v>
      </c>
      <c r="C33" s="62"/>
      <c r="D33" s="62"/>
      <c r="E33" s="62"/>
      <c r="F33" s="62"/>
      <c r="G33" s="62"/>
      <c r="H33" s="62"/>
      <c r="I33" s="62"/>
    </row>
    <row r="34" spans="2:9" ht="103.5" customHeight="1" thickBot="1">
      <c r="B34" s="34" t="s">
        <v>4</v>
      </c>
      <c r="C34" s="13" t="s">
        <v>30</v>
      </c>
      <c r="D34" s="39" t="s">
        <v>31</v>
      </c>
      <c r="E34" s="35" t="s">
        <v>7</v>
      </c>
      <c r="F34" s="13" t="s">
        <v>32</v>
      </c>
      <c r="G34" s="34" t="s">
        <v>9</v>
      </c>
      <c r="H34" s="62"/>
      <c r="I34" s="62"/>
    </row>
    <row r="35" spans="2:9" ht="13.5" customHeight="1" thickBot="1">
      <c r="B35" s="14">
        <v>1</v>
      </c>
      <c r="C35" s="15">
        <v>2</v>
      </c>
      <c r="D35" s="15">
        <v>3</v>
      </c>
      <c r="E35" s="15" t="s">
        <v>10</v>
      </c>
      <c r="F35" s="15">
        <v>5</v>
      </c>
      <c r="G35" s="16" t="s">
        <v>11</v>
      </c>
      <c r="H35" s="62"/>
      <c r="I35" s="62"/>
    </row>
    <row r="36" spans="2:9" ht="16.5" customHeight="1">
      <c r="B36" s="40" t="s">
        <v>33</v>
      </c>
      <c r="C36" s="21">
        <f>'[14]Sheet1'!$N$33</f>
        <v>584150</v>
      </c>
      <c r="D36" s="21">
        <f>'[14]Sheet1'!$R$33</f>
        <v>624334</v>
      </c>
      <c r="E36" s="21">
        <f>D36-C36</f>
        <v>40184</v>
      </c>
      <c r="F36" s="21">
        <f>C36</f>
        <v>584150</v>
      </c>
      <c r="G36" s="21">
        <f>C36-F36</f>
        <v>0</v>
      </c>
      <c r="H36" s="62"/>
      <c r="I36" s="62"/>
    </row>
    <row r="37" spans="2:9" ht="24" customHeight="1" thickBot="1">
      <c r="B37" s="41"/>
      <c r="C37" s="42"/>
      <c r="D37" s="42"/>
      <c r="E37" s="42"/>
      <c r="F37" s="42"/>
      <c r="G37" s="42"/>
      <c r="H37" s="62"/>
      <c r="I37" s="62"/>
    </row>
    <row r="38" spans="2:9" ht="17.25" customHeight="1">
      <c r="B38" s="40" t="s">
        <v>34</v>
      </c>
      <c r="C38" s="21">
        <f>3239274.15</f>
        <v>3239274.15</v>
      </c>
      <c r="D38" s="21">
        <f>3069478.18+114096.04</f>
        <v>3183574.22</v>
      </c>
      <c r="E38" s="21">
        <f>D38-C38</f>
        <v>-55699.9299999997</v>
      </c>
      <c r="F38" s="21">
        <f>'[14]Sheet1'!$T$36</f>
        <v>3066059</v>
      </c>
      <c r="G38" s="21">
        <f>C38-F38</f>
        <v>173215.1499999999</v>
      </c>
      <c r="H38" s="62"/>
      <c r="I38" s="62"/>
    </row>
    <row r="39" spans="2:9" ht="13.5" thickBot="1">
      <c r="B39" s="41"/>
      <c r="C39" s="117"/>
      <c r="D39" s="117"/>
      <c r="E39" s="117"/>
      <c r="F39" s="117"/>
      <c r="G39" s="117"/>
      <c r="H39" s="62"/>
      <c r="I39" s="62"/>
    </row>
    <row r="40" spans="2:9" ht="13.5" thickBot="1">
      <c r="B40" s="24" t="s">
        <v>130</v>
      </c>
      <c r="C40" s="118">
        <f>'[14]Sheet1'!$N$39</f>
        <v>269114</v>
      </c>
      <c r="D40" s="118">
        <f>'[14]Sheet1'!$R$39</f>
        <v>287626</v>
      </c>
      <c r="E40" s="118">
        <f>D40-C40</f>
        <v>18512</v>
      </c>
      <c r="F40" s="118">
        <f>'[14]Sheet1'!$T$39</f>
        <v>355614</v>
      </c>
      <c r="G40" s="118">
        <f>C40-F40</f>
        <v>-86500</v>
      </c>
      <c r="H40" s="62"/>
      <c r="I40" s="62"/>
    </row>
    <row r="41" spans="2:9" ht="13.5" thickBot="1">
      <c r="B41" s="32" t="s">
        <v>35</v>
      </c>
      <c r="C41" s="37">
        <f>C36+C38+C40</f>
        <v>4092538.15</v>
      </c>
      <c r="D41" s="37">
        <f>D36+D38+D40</f>
        <v>4095534.22</v>
      </c>
      <c r="E41" s="37">
        <f>E36+E38+E40</f>
        <v>2996.070000000298</v>
      </c>
      <c r="F41" s="37">
        <f>F36+F38+F40</f>
        <v>4005823</v>
      </c>
      <c r="G41" s="37">
        <f>G36+G38+G40</f>
        <v>86715.1499999999</v>
      </c>
      <c r="H41" s="62"/>
      <c r="I41" s="62"/>
    </row>
    <row r="42" spans="2:9" ht="12.75">
      <c r="B42" s="33"/>
      <c r="C42" s="62"/>
      <c r="D42" s="62"/>
      <c r="E42" s="62"/>
      <c r="F42" s="62"/>
      <c r="G42" s="62"/>
      <c r="H42" s="62"/>
      <c r="I42" s="62"/>
    </row>
    <row r="43" spans="2:9" ht="12.75">
      <c r="B43" s="43" t="s">
        <v>36</v>
      </c>
      <c r="C43" s="62"/>
      <c r="D43" s="62"/>
      <c r="E43" s="62"/>
      <c r="F43" s="62"/>
      <c r="G43" s="44">
        <f>F45+F46</f>
        <v>121585.0700000003</v>
      </c>
      <c r="H43" s="62"/>
      <c r="I43" s="62"/>
    </row>
    <row r="44" spans="2:9" ht="12.75">
      <c r="B44" s="45" t="s">
        <v>37</v>
      </c>
      <c r="C44" s="63"/>
      <c r="D44" s="62"/>
      <c r="E44" s="62"/>
      <c r="F44" s="62"/>
      <c r="G44" s="62"/>
      <c r="H44" s="62"/>
      <c r="I44" s="62"/>
    </row>
    <row r="45" spans="2:9" ht="12.75">
      <c r="B45" s="46" t="s">
        <v>58</v>
      </c>
      <c r="C45" s="62"/>
      <c r="D45" s="62"/>
      <c r="E45" s="62"/>
      <c r="F45" s="47">
        <f>(E23+E30)</f>
        <v>118589</v>
      </c>
      <c r="G45" s="62"/>
      <c r="H45" s="62"/>
      <c r="I45" s="62"/>
    </row>
    <row r="46" spans="2:9" ht="12.75">
      <c r="B46" s="46" t="s">
        <v>59</v>
      </c>
      <c r="C46" s="62"/>
      <c r="D46" s="62"/>
      <c r="E46" s="62"/>
      <c r="F46" s="47">
        <f>(E41)</f>
        <v>2996.070000000298</v>
      </c>
      <c r="G46" s="62"/>
      <c r="H46" s="62"/>
      <c r="I46" s="62"/>
    </row>
    <row r="47" spans="2:9" ht="12.75">
      <c r="B47" s="57" t="s">
        <v>74</v>
      </c>
      <c r="C47" s="62"/>
      <c r="D47" s="62"/>
      <c r="E47" s="62"/>
      <c r="F47" s="47"/>
      <c r="G47" s="62"/>
      <c r="H47" s="62"/>
      <c r="I47" s="62"/>
    </row>
    <row r="48" spans="2:9" ht="12.75">
      <c r="B48" s="57" t="s">
        <v>52</v>
      </c>
      <c r="C48" s="62"/>
      <c r="D48" s="62"/>
      <c r="E48" s="62"/>
      <c r="F48" s="47"/>
      <c r="G48" s="62"/>
      <c r="H48" s="62"/>
      <c r="I48" s="62"/>
    </row>
    <row r="49" spans="2:9" ht="12.75">
      <c r="B49" s="46"/>
      <c r="C49" s="62"/>
      <c r="D49" s="62"/>
      <c r="E49" s="62"/>
      <c r="F49" s="47"/>
      <c r="G49" s="62"/>
      <c r="H49" s="62"/>
      <c r="I49" s="62"/>
    </row>
    <row r="50" spans="2:9" s="1" customFormat="1" ht="12.75">
      <c r="B50" s="48" t="s">
        <v>40</v>
      </c>
      <c r="C50" s="64"/>
      <c r="D50" s="64"/>
      <c r="E50" s="65"/>
      <c r="F50" s="51"/>
      <c r="G50" s="44">
        <f>F52+F53</f>
        <v>-637814</v>
      </c>
      <c r="H50" s="64"/>
      <c r="I50" s="64"/>
    </row>
    <row r="51" spans="2:9" s="1" customFormat="1" ht="12.75">
      <c r="B51" s="45" t="s">
        <v>37</v>
      </c>
      <c r="C51" s="64"/>
      <c r="D51" s="64"/>
      <c r="E51" s="65"/>
      <c r="F51" s="51"/>
      <c r="G51" s="52"/>
      <c r="H51" s="64"/>
      <c r="I51" s="64"/>
    </row>
    <row r="52" spans="2:9" s="1" customFormat="1" ht="12.75">
      <c r="B52" s="46" t="s">
        <v>41</v>
      </c>
      <c r="C52" s="64"/>
      <c r="D52" s="64"/>
      <c r="E52" s="65"/>
      <c r="F52" s="47">
        <f>IF((G23+G30)&lt;=0,G23+G30,0)</f>
        <v>-637814</v>
      </c>
      <c r="G52" s="52"/>
      <c r="H52" s="64"/>
      <c r="I52" s="64"/>
    </row>
    <row r="53" spans="2:9" s="1" customFormat="1" ht="12.75">
      <c r="B53" s="46" t="s">
        <v>42</v>
      </c>
      <c r="C53" s="64"/>
      <c r="D53" s="64"/>
      <c r="E53" s="65"/>
      <c r="F53" s="47">
        <f>IF(G41&lt;=0,G41,0)</f>
        <v>0</v>
      </c>
      <c r="G53" s="52"/>
      <c r="H53" s="64"/>
      <c r="I53" s="64"/>
    </row>
    <row r="54" spans="2:9" s="1" customFormat="1" ht="12.75">
      <c r="B54" s="46"/>
      <c r="C54" s="64"/>
      <c r="D54" s="64"/>
      <c r="E54" s="65"/>
      <c r="F54" s="51"/>
      <c r="G54" s="52"/>
      <c r="H54" s="64"/>
      <c r="I54" s="64"/>
    </row>
    <row r="55" spans="2:9" s="1" customFormat="1" ht="12.75">
      <c r="B55" s="48" t="s">
        <v>60</v>
      </c>
      <c r="C55" s="64"/>
      <c r="D55" s="64"/>
      <c r="E55" s="65"/>
      <c r="F55" s="51"/>
      <c r="G55" s="44">
        <f>F57+F58</f>
        <v>86715.1499999999</v>
      </c>
      <c r="H55" s="64"/>
      <c r="I55" s="64"/>
    </row>
    <row r="56" spans="2:9" ht="12.75">
      <c r="B56" s="45" t="s">
        <v>37</v>
      </c>
      <c r="C56" s="62"/>
      <c r="D56" s="62"/>
      <c r="E56" s="62"/>
      <c r="F56" s="33"/>
      <c r="G56" s="52"/>
      <c r="H56" s="62"/>
      <c r="I56" s="62"/>
    </row>
    <row r="57" spans="2:9" ht="12.75">
      <c r="B57" s="46" t="s">
        <v>41</v>
      </c>
      <c r="C57" s="62"/>
      <c r="D57" s="62"/>
      <c r="E57" s="62"/>
      <c r="F57" s="47">
        <f>IF((G23+G30)&gt;0,G23+G30,0)</f>
        <v>0</v>
      </c>
      <c r="G57" s="62"/>
      <c r="H57" s="62"/>
      <c r="I57" s="62"/>
    </row>
    <row r="58" spans="2:9" ht="12.75">
      <c r="B58" s="46" t="s">
        <v>42</v>
      </c>
      <c r="C58" s="62"/>
      <c r="D58" s="62"/>
      <c r="E58" s="62"/>
      <c r="F58" s="47">
        <f>IF(G41&gt;0,G41,0)</f>
        <v>86715.1499999999</v>
      </c>
      <c r="G58" s="62"/>
      <c r="H58" s="62"/>
      <c r="I58" s="62"/>
    </row>
    <row r="59" spans="2:9" ht="12.75">
      <c r="B59" s="46"/>
      <c r="C59" s="62"/>
      <c r="D59" s="62"/>
      <c r="E59" s="62"/>
      <c r="F59" s="47"/>
      <c r="G59" s="62"/>
      <c r="H59" s="62"/>
      <c r="I59" s="62"/>
    </row>
    <row r="60" spans="2:9" ht="12.75">
      <c r="B60" s="53" t="s">
        <v>44</v>
      </c>
      <c r="C60" s="11"/>
      <c r="D60" s="11"/>
      <c r="E60" s="11"/>
      <c r="F60" s="33"/>
      <c r="G60" s="11"/>
      <c r="H60" s="11"/>
      <c r="I60" s="11"/>
    </row>
    <row r="61" spans="2:9" ht="12.75">
      <c r="B61" s="33" t="s">
        <v>45</v>
      </c>
      <c r="C61" s="11"/>
      <c r="D61" s="11"/>
      <c r="E61" s="54"/>
      <c r="F61" s="51"/>
      <c r="G61" s="44">
        <f>1627.82+400+700+1800*4</f>
        <v>9927.82</v>
      </c>
      <c r="H61" s="11"/>
      <c r="I61" s="11"/>
    </row>
    <row r="62" spans="2:9" ht="12.75">
      <c r="B62" s="10"/>
      <c r="C62" s="11"/>
      <c r="D62" s="11"/>
      <c r="E62" s="11"/>
      <c r="F62" s="11"/>
      <c r="G62" s="11"/>
      <c r="H62" s="11"/>
      <c r="I62" s="11"/>
    </row>
    <row r="63" spans="2:9" ht="15.75">
      <c r="B63" s="55" t="s">
        <v>46</v>
      </c>
      <c r="C63" s="11"/>
      <c r="D63" s="11"/>
      <c r="E63" s="11"/>
      <c r="F63" s="56">
        <f>G50+G55+G61</f>
        <v>-541171.0300000001</v>
      </c>
      <c r="G63" s="56" t="s">
        <v>47</v>
      </c>
      <c r="H63" s="11"/>
      <c r="I63" s="11"/>
    </row>
    <row r="64" spans="2:9" ht="12.75">
      <c r="B64" s="57" t="s">
        <v>48</v>
      </c>
      <c r="C64" s="11"/>
      <c r="D64" s="11"/>
      <c r="E64" s="11"/>
      <c r="F64" s="47"/>
      <c r="G64" s="11"/>
      <c r="H64" s="11"/>
      <c r="I64" s="11"/>
    </row>
    <row r="65" spans="2:9" ht="12.75">
      <c r="B65" s="57" t="s">
        <v>49</v>
      </c>
      <c r="C65" s="11"/>
      <c r="D65" s="11"/>
      <c r="E65" s="11"/>
      <c r="F65" s="47"/>
      <c r="G65" s="11"/>
      <c r="H65" s="11"/>
      <c r="I65" s="11"/>
    </row>
    <row r="66" spans="2:9" ht="12.75">
      <c r="B66" s="46"/>
      <c r="C66" s="11"/>
      <c r="D66" s="11"/>
      <c r="E66" s="11"/>
      <c r="F66" s="47"/>
      <c r="G66" s="11"/>
      <c r="H66" s="11"/>
      <c r="I66" s="11"/>
    </row>
    <row r="67" spans="2:9" ht="15.75">
      <c r="B67" s="55" t="s">
        <v>50</v>
      </c>
      <c r="C67" s="11"/>
      <c r="D67" s="11"/>
      <c r="E67" s="11"/>
      <c r="F67" s="56">
        <f>-186151.15-233389.2</f>
        <v>-419540.35</v>
      </c>
      <c r="G67" s="56" t="s">
        <v>47</v>
      </c>
      <c r="H67" s="11"/>
      <c r="I67" s="11"/>
    </row>
    <row r="68" spans="2:9" ht="12.75">
      <c r="B68" s="57" t="s">
        <v>51</v>
      </c>
      <c r="C68" s="11"/>
      <c r="D68" s="11"/>
      <c r="E68" s="11"/>
      <c r="F68" s="47"/>
      <c r="G68" s="11"/>
      <c r="H68" s="11"/>
      <c r="I68" s="11"/>
    </row>
    <row r="69" spans="2:9" ht="12.75">
      <c r="B69" s="57" t="s">
        <v>52</v>
      </c>
      <c r="C69" s="11"/>
      <c r="D69" s="11"/>
      <c r="E69" s="11"/>
      <c r="F69" s="47"/>
      <c r="G69" s="11"/>
      <c r="H69" s="11"/>
      <c r="I69" s="11"/>
    </row>
    <row r="70" spans="2:9" ht="12.75">
      <c r="B70" s="33"/>
      <c r="C70" s="62"/>
      <c r="D70" s="62"/>
      <c r="E70" s="62"/>
      <c r="F70" s="62"/>
      <c r="G70" s="62"/>
      <c r="H70" s="62"/>
      <c r="I70" s="62"/>
    </row>
    <row r="71" spans="1:9" ht="15.75">
      <c r="A71" s="11"/>
      <c r="B71" s="58" t="s">
        <v>53</v>
      </c>
      <c r="C71" s="58"/>
      <c r="D71" s="58"/>
      <c r="E71" s="11"/>
      <c r="F71" s="56">
        <f>F63+F67</f>
        <v>-960711.3800000001</v>
      </c>
      <c r="G71" s="56" t="s">
        <v>47</v>
      </c>
      <c r="H71" s="11"/>
      <c r="I71" s="11"/>
    </row>
    <row r="72" spans="1:9" ht="12.75">
      <c r="A72" s="11"/>
      <c r="B72" s="38" t="s">
        <v>48</v>
      </c>
      <c r="C72" s="38"/>
      <c r="D72" s="11"/>
      <c r="E72" s="11"/>
      <c r="F72" s="47"/>
      <c r="G72" s="11"/>
      <c r="H72" s="11"/>
      <c r="I72" s="11"/>
    </row>
    <row r="73" spans="1:9" ht="12.75">
      <c r="A73" s="11"/>
      <c r="B73" s="38" t="s">
        <v>49</v>
      </c>
      <c r="C73" s="11"/>
      <c r="D73" s="11"/>
      <c r="E73" s="11"/>
      <c r="F73" s="47"/>
      <c r="G73" s="11"/>
      <c r="H73" s="11"/>
      <c r="I73" s="11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="33" customFormat="1" ht="12.75">
      <c r="C75" s="59" t="s">
        <v>54</v>
      </c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pans="2:6" ht="15">
      <c r="B77" s="60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</sheetData>
  <sheetProtection/>
  <mergeCells count="19">
    <mergeCell ref="B38:B39"/>
    <mergeCell ref="C38:C39"/>
    <mergeCell ref="D38:D39"/>
    <mergeCell ref="E38:E39"/>
    <mergeCell ref="F38:F39"/>
    <mergeCell ref="G38:G39"/>
    <mergeCell ref="B13:G13"/>
    <mergeCell ref="B36:B37"/>
    <mergeCell ref="C36:C37"/>
    <mergeCell ref="D36:D37"/>
    <mergeCell ref="E36:E37"/>
    <mergeCell ref="F36:F37"/>
    <mergeCell ref="G36:G37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23">
      <selection activeCell="J32" sqref="J32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9.2812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131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'[15]Sheet1'!$N$15</f>
        <v>252101</v>
      </c>
      <c r="D10" s="21">
        <f>'[15]Sheet1'!$R$15</f>
        <v>270260</v>
      </c>
      <c r="E10" s="21">
        <f>D10-C10</f>
        <v>18159</v>
      </c>
      <c r="F10" s="21">
        <f>'[15]Sheet1'!$T$15</f>
        <v>252101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252101</v>
      </c>
      <c r="D13" s="27">
        <f>D10</f>
        <v>270260</v>
      </c>
      <c r="E13" s="27">
        <f>E10</f>
        <v>18159</v>
      </c>
      <c r="F13" s="27">
        <f>F10</f>
        <v>252101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'[15]Sheet1'!$N$18</f>
        <v>102429</v>
      </c>
      <c r="D16" s="31">
        <f>'[15]Sheet1'!$R$18</f>
        <v>109807</v>
      </c>
      <c r="E16" s="31">
        <f aca="true" t="shared" si="0" ref="E16:E22">D16-C16</f>
        <v>7378</v>
      </c>
      <c r="F16" s="31">
        <f>'[15]Sheet1'!$T$18</f>
        <v>102429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'[15]Sheet1'!$N$19</f>
        <v>8852</v>
      </c>
      <c r="D17" s="31">
        <f>'[15]Sheet1'!$R$19</f>
        <v>9490</v>
      </c>
      <c r="E17" s="31">
        <f t="shared" si="0"/>
        <v>638</v>
      </c>
      <c r="F17" s="31">
        <f>'[15]Sheet1'!$T$19</f>
        <v>8852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'[15]Sheet1'!$N$20</f>
        <v>19602</v>
      </c>
      <c r="D18" s="31">
        <f>'[15]Sheet1'!$R$20</f>
        <v>21014</v>
      </c>
      <c r="E18" s="31">
        <f t="shared" si="0"/>
        <v>1412</v>
      </c>
      <c r="F18" s="31">
        <f>'[15]Sheet1'!$T$20</f>
        <v>19602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'[15]Sheet1'!$N$26</f>
        <v>178935</v>
      </c>
      <c r="D21" s="31">
        <f>'[15]Sheet1'!$R$26</f>
        <v>191824</v>
      </c>
      <c r="E21" s="31">
        <f t="shared" si="0"/>
        <v>12889</v>
      </c>
      <c r="F21" s="31">
        <f>'[15]Sheet1'!$T$26</f>
        <v>178935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'[15]Sheet1'!$N$41+'[15]Sheet1'!$N$42</f>
        <v>32250</v>
      </c>
      <c r="D22" s="31">
        <f>'[15]Sheet1'!$R$41+'[15]Sheet1'!$R$42</f>
        <v>34572</v>
      </c>
      <c r="E22" s="31">
        <f t="shared" si="0"/>
        <v>2322</v>
      </c>
      <c r="F22" s="31">
        <f>'[15]Sheet1'!$T$41+'[15]Sheet1'!$T$42</f>
        <v>32250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342068</v>
      </c>
      <c r="D23" s="27">
        <f>SUM(D15:D22)</f>
        <v>366707</v>
      </c>
      <c r="E23" s="27">
        <f>SUM(E15:E22)</f>
        <v>24639</v>
      </c>
      <c r="F23" s="27">
        <f>SUM(F15:F22)</f>
        <v>342068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594169</v>
      </c>
      <c r="D24" s="27">
        <f>D13+D23</f>
        <v>636967</v>
      </c>
      <c r="E24" s="27">
        <f>E13+E23</f>
        <v>42798</v>
      </c>
      <c r="F24" s="27">
        <f>F13+F23</f>
        <v>594169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'[15]Sheet1'!$N$12</f>
        <v>469423</v>
      </c>
      <c r="D29" s="36">
        <f>'[15]Sheet1'!$R$12</f>
        <v>503235</v>
      </c>
      <c r="E29" s="36">
        <f>D29-C29</f>
        <v>33812</v>
      </c>
      <c r="F29" s="36">
        <v>682325</v>
      </c>
      <c r="G29" s="36">
        <f>C29-F29</f>
        <v>-212902</v>
      </c>
      <c r="H29" s="63"/>
      <c r="I29" s="62"/>
    </row>
    <row r="30" spans="2:9" ht="13.5" thickBot="1">
      <c r="B30" s="26" t="s">
        <v>28</v>
      </c>
      <c r="C30" s="37">
        <f>C29</f>
        <v>469423</v>
      </c>
      <c r="D30" s="37">
        <f>D29</f>
        <v>503235</v>
      </c>
      <c r="E30" s="37">
        <f>E29</f>
        <v>33812</v>
      </c>
      <c r="F30" s="37">
        <f>F29</f>
        <v>682325</v>
      </c>
      <c r="G30" s="37">
        <f>G29</f>
        <v>-212902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'[15]Sheet1'!$N$33</f>
        <v>413600</v>
      </c>
      <c r="D35" s="21">
        <f>'[15]Sheet1'!$R$33</f>
        <v>443391</v>
      </c>
      <c r="E35" s="21">
        <f>D35-C35</f>
        <v>29791</v>
      </c>
      <c r="F35" s="21">
        <f>C35</f>
        <v>413600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2482077.47</v>
      </c>
      <c r="D37" s="21">
        <f>2312846.19+160805.35</f>
        <v>2473651.54</v>
      </c>
      <c r="E37" s="21">
        <f>D37-C37</f>
        <v>-8425.930000000168</v>
      </c>
      <c r="F37" s="21">
        <f>'[15]Sheet1'!$T$36</f>
        <v>2285774</v>
      </c>
      <c r="G37" s="21">
        <f>C37-F37</f>
        <v>196303.4700000002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2895677.47</v>
      </c>
      <c r="D39" s="37">
        <f>D35+D37</f>
        <v>2917042.54</v>
      </c>
      <c r="E39" s="37">
        <f>E35+E37</f>
        <v>21365.069999999832</v>
      </c>
      <c r="F39" s="37">
        <f>F35+F37</f>
        <v>2699374</v>
      </c>
      <c r="G39" s="37">
        <f>G35+G37</f>
        <v>196303.4700000002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97975.06999999983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76610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21365.069999999832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40</v>
      </c>
      <c r="C47" s="64"/>
      <c r="D47" s="64"/>
      <c r="E47" s="65"/>
      <c r="F47" s="51"/>
      <c r="G47" s="44">
        <f>F49+F50</f>
        <v>-212902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-212902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0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196303.4700000002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0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196303.4700000002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-13870.709999999795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-633836.92-201437.06</f>
        <v>-835273.98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-849144.6899999998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6" ht="14.25">
      <c r="B73" s="61"/>
      <c r="C73" s="61"/>
      <c r="D73" s="61"/>
      <c r="E73" s="61"/>
      <c r="F73" s="61"/>
    </row>
    <row r="74" spans="2:6" ht="14.25">
      <c r="B74" s="61"/>
      <c r="C74" s="61"/>
      <c r="D74" s="61"/>
      <c r="E74" s="61"/>
      <c r="F74" s="61"/>
    </row>
    <row r="75" spans="2:6" ht="14.25">
      <c r="B75" s="61"/>
      <c r="C75" s="61"/>
      <c r="D75" s="61"/>
      <c r="E75" s="61"/>
      <c r="F75" s="61"/>
    </row>
    <row r="76" s="33" customFormat="1" ht="12.75">
      <c r="C76" s="59" t="s">
        <v>54</v>
      </c>
    </row>
    <row r="77" spans="2:9" ht="12.75">
      <c r="B77" s="33"/>
      <c r="C77" s="62"/>
      <c r="D77" s="62"/>
      <c r="E77" s="62"/>
      <c r="F77" s="62"/>
      <c r="G77" s="62"/>
      <c r="H77" s="62"/>
      <c r="I77" s="62"/>
    </row>
    <row r="78" spans="2:6" ht="15">
      <c r="B78" s="60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  <row r="85" spans="2:6" ht="14.25">
      <c r="B85" s="61"/>
      <c r="C85" s="61"/>
      <c r="D85" s="61"/>
      <c r="E85" s="61"/>
      <c r="F85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fitToHeight="0" fitToWidth="1" horizontalDpi="600" verticalDpi="600" orientation="portrait" paperSize="9" scale="9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37">
      <selection activeCell="B43" sqref="B43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132</v>
      </c>
      <c r="E2" s="119"/>
      <c r="F2" s="119"/>
    </row>
    <row r="3" spans="1:6" ht="18.75">
      <c r="A3" s="4"/>
      <c r="B3" s="3"/>
      <c r="D3" s="7" t="s">
        <v>2</v>
      </c>
      <c r="E3" s="3"/>
      <c r="F3" s="3"/>
    </row>
    <row r="4" spans="2:6" ht="9.75" customHeight="1">
      <c r="B4" s="8"/>
      <c r="C4" s="120"/>
      <c r="D4" s="120"/>
      <c r="E4" s="120"/>
      <c r="F4" s="120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'[16]Sheet1'!$N$15</f>
        <v>212023</v>
      </c>
      <c r="D9" s="21">
        <f>'[16]Sheet1'!$R$15</f>
        <v>226404</v>
      </c>
      <c r="E9" s="21">
        <f>D9-C9</f>
        <v>14381</v>
      </c>
      <c r="F9" s="21">
        <f>'[16]Sheet1'!$T$15</f>
        <v>212023</v>
      </c>
      <c r="G9" s="21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62"/>
      <c r="I11" s="62"/>
    </row>
    <row r="12" spans="2:9" ht="13.5" thickBot="1">
      <c r="B12" s="26" t="s">
        <v>16</v>
      </c>
      <c r="C12" s="27">
        <f>C9</f>
        <v>212023</v>
      </c>
      <c r="D12" s="27">
        <f>D9</f>
        <v>226404</v>
      </c>
      <c r="E12" s="27">
        <f>E9</f>
        <v>14381</v>
      </c>
      <c r="F12" s="27">
        <f>F9</f>
        <v>212023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68</v>
      </c>
      <c r="C14" s="31">
        <v>0</v>
      </c>
      <c r="D14" s="31">
        <v>0</v>
      </c>
      <c r="E14" s="31">
        <f>D14-C14</f>
        <v>0</v>
      </c>
      <c r="F14" s="31">
        <f>C14</f>
        <v>0</v>
      </c>
      <c r="G14" s="31">
        <f>C14-F14</f>
        <v>0</v>
      </c>
      <c r="H14" s="62"/>
      <c r="I14" s="62"/>
    </row>
    <row r="15" spans="2:9" ht="27" customHeight="1" thickBot="1">
      <c r="B15" s="24" t="s">
        <v>18</v>
      </c>
      <c r="C15" s="31">
        <f>'[16]Sheet1'!$N$18</f>
        <v>63338</v>
      </c>
      <c r="D15" s="31">
        <f>'[16]Sheet1'!$R$18</f>
        <v>67634</v>
      </c>
      <c r="E15" s="31">
        <f aca="true" t="shared" si="0" ref="E15:E21">D15-C15</f>
        <v>4296</v>
      </c>
      <c r="F15" s="31">
        <f>'[16]Sheet1'!$T$18</f>
        <v>63338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'[16]Sheet1'!$N$19</f>
        <v>4183</v>
      </c>
      <c r="D16" s="31">
        <f>'[16]Sheet1'!$R$19</f>
        <v>4467</v>
      </c>
      <c r="E16" s="31">
        <f t="shared" si="0"/>
        <v>284</v>
      </c>
      <c r="F16" s="31">
        <f>'[16]Sheet1'!$T$19</f>
        <v>4183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'[16]Sheet1'!$N$20</f>
        <v>17926</v>
      </c>
      <c r="D17" s="31">
        <f>'[16]Sheet1'!$R$20</f>
        <v>19142</v>
      </c>
      <c r="E17" s="31">
        <f t="shared" si="0"/>
        <v>1216</v>
      </c>
      <c r="F17" s="31">
        <f>'[16]Sheet1'!$T$20</f>
        <v>17926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'[16]Sheet1'!$N$25</f>
        <v>298635</v>
      </c>
      <c r="D18" s="31">
        <f>'[16]Sheet1'!$R$25</f>
        <v>318891</v>
      </c>
      <c r="E18" s="31">
        <f t="shared" si="0"/>
        <v>20256</v>
      </c>
      <c r="F18" s="31">
        <f>C18</f>
        <v>298635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'[16]Sheet1'!$N$24</f>
        <v>83654</v>
      </c>
      <c r="D19" s="31">
        <f>'[16]Sheet1'!$R$24</f>
        <v>89328</v>
      </c>
      <c r="E19" s="31">
        <f t="shared" si="0"/>
        <v>5674</v>
      </c>
      <c r="F19" s="31">
        <f>'[16]Sheet1'!$T$24</f>
        <v>83654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'[16]Sheet1'!$N$26</f>
        <v>168720</v>
      </c>
      <c r="D20" s="31">
        <f>'[16]Sheet1'!$R$26</f>
        <v>180164</v>
      </c>
      <c r="E20" s="31">
        <f t="shared" si="0"/>
        <v>11444</v>
      </c>
      <c r="F20" s="31">
        <f>'[16]Sheet1'!$T$26</f>
        <v>168720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'[16]Sheet1'!$N$41+'[16]Sheet1'!$N$42</f>
        <v>19720</v>
      </c>
      <c r="D21" s="31">
        <f>'[16]Sheet1'!$R$41+'[16]Sheet1'!$R$42</f>
        <v>21058</v>
      </c>
      <c r="E21" s="31">
        <f t="shared" si="0"/>
        <v>1338</v>
      </c>
      <c r="F21" s="31">
        <f>'[16]Sheet1'!$T$41+'[16]Sheet1'!$T$42</f>
        <v>19720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SUM(C14:C21)</f>
        <v>656176</v>
      </c>
      <c r="D22" s="27">
        <f>SUM(D14:D21)</f>
        <v>700684</v>
      </c>
      <c r="E22" s="27">
        <f>SUM(E14:E21)</f>
        <v>44508</v>
      </c>
      <c r="F22" s="27">
        <f>SUM(F14:F21)</f>
        <v>656176</v>
      </c>
      <c r="G22" s="27">
        <f>SUM(G14:G21)</f>
        <v>0</v>
      </c>
      <c r="H22" s="62"/>
      <c r="I22" s="62"/>
    </row>
    <row r="23" spans="2:9" ht="13.5" thickBot="1">
      <c r="B23" s="32" t="s">
        <v>23</v>
      </c>
      <c r="C23" s="27">
        <f>C12+C22</f>
        <v>868199</v>
      </c>
      <c r="D23" s="27">
        <f>D12+D22</f>
        <v>927088</v>
      </c>
      <c r="E23" s="27">
        <f>E12+E22</f>
        <v>58889</v>
      </c>
      <c r="F23" s="27">
        <f>F12+F22</f>
        <v>868199</v>
      </c>
      <c r="G23" s="27">
        <f>G12+G22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'[16]Sheet1'!$N$12</f>
        <v>399376</v>
      </c>
      <c r="D29" s="36">
        <f>'[16]Sheet1'!$R$12</f>
        <v>426465</v>
      </c>
      <c r="E29" s="36">
        <f>D29-C29</f>
        <v>27089</v>
      </c>
      <c r="F29" s="36">
        <v>353589</v>
      </c>
      <c r="G29" s="36">
        <f>C29-F29</f>
        <v>45787</v>
      </c>
      <c r="H29" s="63"/>
      <c r="I29" s="62"/>
    </row>
    <row r="30" spans="2:9" ht="13.5" thickBot="1">
      <c r="B30" s="26" t="s">
        <v>28</v>
      </c>
      <c r="C30" s="37">
        <f>C29</f>
        <v>399376</v>
      </c>
      <c r="D30" s="37">
        <f>D29</f>
        <v>426465</v>
      </c>
      <c r="E30" s="37">
        <f>E29</f>
        <v>27089</v>
      </c>
      <c r="F30" s="37">
        <f>F29</f>
        <v>353589</v>
      </c>
      <c r="G30" s="37">
        <f>G29</f>
        <v>45787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2.75">
      <c r="B32" s="38"/>
      <c r="C32" s="62"/>
      <c r="D32" s="62"/>
      <c r="E32" s="62"/>
      <c r="F32" s="62"/>
      <c r="G32" s="62"/>
      <c r="H32" s="62"/>
      <c r="I32" s="62"/>
    </row>
    <row r="33" spans="2:9" ht="13.5" thickBot="1">
      <c r="B33" s="10" t="s">
        <v>29</v>
      </c>
      <c r="C33" s="62"/>
      <c r="D33" s="62"/>
      <c r="E33" s="62"/>
      <c r="F33" s="62"/>
      <c r="G33" s="62"/>
      <c r="H33" s="62"/>
      <c r="I33" s="62"/>
    </row>
    <row r="34" spans="2:9" ht="103.5" customHeight="1" thickBot="1">
      <c r="B34" s="34" t="s">
        <v>4</v>
      </c>
      <c r="C34" s="13" t="s">
        <v>30</v>
      </c>
      <c r="D34" s="39" t="s">
        <v>31</v>
      </c>
      <c r="E34" s="35" t="s">
        <v>7</v>
      </c>
      <c r="F34" s="13" t="s">
        <v>32</v>
      </c>
      <c r="G34" s="34" t="s">
        <v>9</v>
      </c>
      <c r="H34" s="62"/>
      <c r="I34" s="62"/>
    </row>
    <row r="35" spans="2:9" ht="13.5" customHeight="1" thickBot="1">
      <c r="B35" s="14">
        <v>1</v>
      </c>
      <c r="C35" s="15">
        <v>2</v>
      </c>
      <c r="D35" s="15">
        <v>3</v>
      </c>
      <c r="E35" s="15" t="s">
        <v>10</v>
      </c>
      <c r="F35" s="15">
        <v>5</v>
      </c>
      <c r="G35" s="16" t="s">
        <v>11</v>
      </c>
      <c r="H35" s="62"/>
      <c r="I35" s="62"/>
    </row>
    <row r="36" spans="2:9" ht="16.5" customHeight="1">
      <c r="B36" s="40" t="s">
        <v>33</v>
      </c>
      <c r="C36" s="21">
        <f>'[16]Sheet1'!$N$33</f>
        <v>332190</v>
      </c>
      <c r="D36" s="21">
        <f>'[16]Sheet1'!$R$33</f>
        <v>354722</v>
      </c>
      <c r="E36" s="21">
        <f>D36-C36</f>
        <v>22532</v>
      </c>
      <c r="F36" s="21">
        <f>C36</f>
        <v>332190</v>
      </c>
      <c r="G36" s="21">
        <f>C36-F36</f>
        <v>0</v>
      </c>
      <c r="H36" s="62"/>
      <c r="I36" s="62"/>
    </row>
    <row r="37" spans="2:9" ht="24" customHeight="1" thickBot="1">
      <c r="B37" s="41"/>
      <c r="C37" s="42"/>
      <c r="D37" s="42"/>
      <c r="E37" s="42"/>
      <c r="F37" s="42"/>
      <c r="G37" s="42"/>
      <c r="H37" s="62"/>
      <c r="I37" s="62"/>
    </row>
    <row r="38" spans="2:9" ht="17.25" customHeight="1">
      <c r="B38" s="40" t="s">
        <v>34</v>
      </c>
      <c r="C38" s="21">
        <v>2330806.89</v>
      </c>
      <c r="D38" s="21">
        <f>2241813.73+98545.34</f>
        <v>2340359.07</v>
      </c>
      <c r="E38" s="21">
        <f>D38-C38</f>
        <v>9552.179999999702</v>
      </c>
      <c r="F38" s="21">
        <f>'[16]Sheet1'!$T$36</f>
        <v>2398604</v>
      </c>
      <c r="G38" s="21">
        <f>C38-F38</f>
        <v>-67797.10999999987</v>
      </c>
      <c r="H38" s="62"/>
      <c r="I38" s="62"/>
    </row>
    <row r="39" spans="2:9" ht="13.5" thickBot="1">
      <c r="B39" s="41"/>
      <c r="C39" s="42"/>
      <c r="D39" s="42"/>
      <c r="E39" s="42"/>
      <c r="F39" s="42"/>
      <c r="G39" s="42"/>
      <c r="H39" s="62"/>
      <c r="I39" s="62"/>
    </row>
    <row r="40" spans="2:9" ht="13.5" thickBot="1">
      <c r="B40" s="32" t="s">
        <v>35</v>
      </c>
      <c r="C40" s="37">
        <f>C36+C38</f>
        <v>2662996.89</v>
      </c>
      <c r="D40" s="37">
        <f>D36+D38</f>
        <v>2695081.07</v>
      </c>
      <c r="E40" s="37">
        <f>E36+E38</f>
        <v>32084.179999999702</v>
      </c>
      <c r="F40" s="37">
        <f>F36+F38</f>
        <v>2730794</v>
      </c>
      <c r="G40" s="37">
        <f>G36+G38</f>
        <v>-67797.10999999987</v>
      </c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33"/>
      <c r="C42" s="62"/>
      <c r="D42" s="62"/>
      <c r="E42" s="62"/>
      <c r="F42" s="62"/>
      <c r="G42" s="62"/>
      <c r="H42" s="62"/>
      <c r="I42" s="62"/>
    </row>
    <row r="43" spans="2:9" ht="12.75">
      <c r="B43" s="43" t="s">
        <v>133</v>
      </c>
      <c r="C43" s="62"/>
      <c r="D43" s="62"/>
      <c r="E43" s="62"/>
      <c r="F43" s="62"/>
      <c r="G43" s="44">
        <f>F45+F46</f>
        <v>118062.1799999997</v>
      </c>
      <c r="H43" s="62"/>
      <c r="I43" s="62"/>
    </row>
    <row r="44" spans="2:9" ht="12.75">
      <c r="B44" s="45" t="s">
        <v>37</v>
      </c>
      <c r="C44" s="63"/>
      <c r="D44" s="62"/>
      <c r="E44" s="62"/>
      <c r="F44" s="62"/>
      <c r="G44" s="62"/>
      <c r="H44" s="62"/>
      <c r="I44" s="62"/>
    </row>
    <row r="45" spans="2:9" ht="12.75">
      <c r="B45" s="46" t="s">
        <v>58</v>
      </c>
      <c r="C45" s="62"/>
      <c r="D45" s="62"/>
      <c r="E45" s="62"/>
      <c r="F45" s="47">
        <f>(E23+E30)</f>
        <v>85978</v>
      </c>
      <c r="G45" s="62"/>
      <c r="H45" s="62"/>
      <c r="I45" s="62"/>
    </row>
    <row r="46" spans="2:9" ht="12.75">
      <c r="B46" s="46" t="s">
        <v>59</v>
      </c>
      <c r="C46" s="62"/>
      <c r="D46" s="62"/>
      <c r="E46" s="62"/>
      <c r="F46" s="47">
        <f>(E40)</f>
        <v>32084.179999999702</v>
      </c>
      <c r="G46" s="62"/>
      <c r="H46" s="62"/>
      <c r="I46" s="62"/>
    </row>
    <row r="47" spans="2:9" ht="12.75">
      <c r="B47" s="46"/>
      <c r="C47" s="62"/>
      <c r="D47" s="62"/>
      <c r="E47" s="62"/>
      <c r="F47" s="47"/>
      <c r="G47" s="62"/>
      <c r="H47" s="62"/>
      <c r="I47" s="62"/>
    </row>
    <row r="48" spans="2:9" s="1" customFormat="1" ht="12.75">
      <c r="B48" s="48" t="s">
        <v>134</v>
      </c>
      <c r="C48" s="64"/>
      <c r="D48" s="64"/>
      <c r="E48" s="65"/>
      <c r="F48" s="51"/>
      <c r="G48" s="44">
        <f>F50+F51</f>
        <v>-67797.10999999987</v>
      </c>
      <c r="H48" s="64"/>
      <c r="I48" s="64"/>
    </row>
    <row r="49" spans="2:9" s="1" customFormat="1" ht="12.75">
      <c r="B49" s="45" t="s">
        <v>37</v>
      </c>
      <c r="C49" s="64"/>
      <c r="D49" s="64"/>
      <c r="E49" s="65"/>
      <c r="F49" s="51"/>
      <c r="G49" s="52"/>
      <c r="H49" s="64"/>
      <c r="I49" s="64"/>
    </row>
    <row r="50" spans="2:9" s="1" customFormat="1" ht="12.75">
      <c r="B50" s="46" t="s">
        <v>41</v>
      </c>
      <c r="C50" s="64"/>
      <c r="D50" s="64"/>
      <c r="E50" s="65"/>
      <c r="F50" s="47">
        <f>IF((G23+G30)&lt;=0,G23+G30,0)</f>
        <v>0</v>
      </c>
      <c r="G50" s="52"/>
      <c r="H50" s="64"/>
      <c r="I50" s="64"/>
    </row>
    <row r="51" spans="2:9" s="1" customFormat="1" ht="12.75">
      <c r="B51" s="46" t="s">
        <v>42</v>
      </c>
      <c r="C51" s="64"/>
      <c r="D51" s="64"/>
      <c r="E51" s="65"/>
      <c r="F51" s="47">
        <f>IF(G40&lt;=0,G40,0)</f>
        <v>-67797.10999999987</v>
      </c>
      <c r="G51" s="52"/>
      <c r="H51" s="64"/>
      <c r="I51" s="64"/>
    </row>
    <row r="52" spans="2:9" s="1" customFormat="1" ht="12.75">
      <c r="B52" s="46"/>
      <c r="C52" s="64"/>
      <c r="D52" s="64"/>
      <c r="E52" s="65"/>
      <c r="F52" s="51"/>
      <c r="G52" s="52"/>
      <c r="H52" s="64"/>
      <c r="I52" s="64"/>
    </row>
    <row r="53" spans="2:9" s="1" customFormat="1" ht="12.75">
      <c r="B53" s="48" t="s">
        <v>60</v>
      </c>
      <c r="C53" s="64"/>
      <c r="D53" s="64"/>
      <c r="E53" s="65"/>
      <c r="F53" s="51"/>
      <c r="G53" s="44">
        <f>F55+F56</f>
        <v>45787</v>
      </c>
      <c r="H53" s="64"/>
      <c r="I53" s="64"/>
    </row>
    <row r="54" spans="2:9" ht="12.75">
      <c r="B54" s="45" t="s">
        <v>37</v>
      </c>
      <c r="C54" s="62"/>
      <c r="D54" s="62"/>
      <c r="E54" s="62"/>
      <c r="F54" s="33"/>
      <c r="G54" s="52"/>
      <c r="H54" s="62"/>
      <c r="I54" s="62"/>
    </row>
    <row r="55" spans="2:9" ht="12.75">
      <c r="B55" s="46" t="s">
        <v>41</v>
      </c>
      <c r="C55" s="62"/>
      <c r="D55" s="62"/>
      <c r="E55" s="62"/>
      <c r="F55" s="47">
        <f>IF((G23+G30)&gt;0,G23+G30,0)</f>
        <v>45787</v>
      </c>
      <c r="G55" s="62"/>
      <c r="H55" s="62"/>
      <c r="I55" s="62"/>
    </row>
    <row r="56" spans="2:9" ht="12.75">
      <c r="B56" s="46" t="s">
        <v>42</v>
      </c>
      <c r="C56" s="62"/>
      <c r="D56" s="62"/>
      <c r="E56" s="62"/>
      <c r="F56" s="47">
        <f>IF(G40&gt;0,G40,0)</f>
        <v>0</v>
      </c>
      <c r="G56" s="62"/>
      <c r="H56" s="62"/>
      <c r="I56" s="62"/>
    </row>
    <row r="57" spans="2:9" ht="12.75">
      <c r="B57" s="46"/>
      <c r="C57" s="62"/>
      <c r="D57" s="62"/>
      <c r="E57" s="62"/>
      <c r="F57" s="47"/>
      <c r="G57" s="62"/>
      <c r="H57" s="62"/>
      <c r="I57" s="62"/>
    </row>
    <row r="58" spans="2:9" ht="12.75">
      <c r="B58" s="53" t="s">
        <v>44</v>
      </c>
      <c r="C58" s="11"/>
      <c r="D58" s="11"/>
      <c r="E58" s="11"/>
      <c r="F58" s="33"/>
      <c r="G58" s="11"/>
      <c r="H58" s="11"/>
      <c r="I58" s="11"/>
    </row>
    <row r="59" spans="2:9" ht="12.75">
      <c r="B59" s="33" t="s">
        <v>45</v>
      </c>
      <c r="C59" s="11"/>
      <c r="D59" s="11"/>
      <c r="E59" s="54"/>
      <c r="F59" s="51"/>
      <c r="G59" s="44">
        <f>1627.82+400+700+1800*3</f>
        <v>8127.82</v>
      </c>
      <c r="H59" s="11"/>
      <c r="I59" s="11"/>
    </row>
    <row r="60" spans="2:9" ht="12.75">
      <c r="B60" s="10"/>
      <c r="C60" s="11"/>
      <c r="D60" s="11"/>
      <c r="E60" s="11"/>
      <c r="F60" s="11"/>
      <c r="G60" s="11"/>
      <c r="H60" s="11"/>
      <c r="I60" s="11"/>
    </row>
    <row r="61" spans="2:9" ht="12.75">
      <c r="B61" s="46"/>
      <c r="C61" s="11"/>
      <c r="D61" s="11"/>
      <c r="E61" s="11"/>
      <c r="F61" s="47"/>
      <c r="G61" s="11"/>
      <c r="H61" s="11"/>
      <c r="I61" s="11"/>
    </row>
    <row r="62" spans="2:9" ht="15.75">
      <c r="B62" s="55" t="s">
        <v>46</v>
      </c>
      <c r="C62" s="11"/>
      <c r="D62" s="11"/>
      <c r="E62" s="11"/>
      <c r="F62" s="56">
        <f>G48+G53+G59</f>
        <v>-13882.28999999987</v>
      </c>
      <c r="G62" s="56" t="s">
        <v>47</v>
      </c>
      <c r="H62" s="11"/>
      <c r="I62" s="11"/>
    </row>
    <row r="63" spans="2:9" ht="12.75">
      <c r="B63" s="57" t="s">
        <v>48</v>
      </c>
      <c r="C63" s="11"/>
      <c r="D63" s="11"/>
      <c r="E63" s="11"/>
      <c r="F63" s="47"/>
      <c r="G63" s="11"/>
      <c r="H63" s="11"/>
      <c r="I63" s="11"/>
    </row>
    <row r="64" spans="2:9" ht="12.75">
      <c r="B64" s="57" t="s">
        <v>49</v>
      </c>
      <c r="C64" s="11"/>
      <c r="D64" s="11"/>
      <c r="E64" s="11"/>
      <c r="F64" s="47"/>
      <c r="G64" s="11"/>
      <c r="H64" s="11"/>
      <c r="I64" s="11"/>
    </row>
    <row r="65" spans="2:9" ht="12.75">
      <c r="B65" s="46"/>
      <c r="C65" s="11"/>
      <c r="D65" s="11"/>
      <c r="E65" s="11"/>
      <c r="F65" s="47"/>
      <c r="G65" s="11"/>
      <c r="H65" s="11"/>
      <c r="I65" s="11"/>
    </row>
    <row r="66" spans="2:9" ht="12.75">
      <c r="B66" s="46"/>
      <c r="C66" s="11"/>
      <c r="D66" s="11"/>
      <c r="E66" s="11"/>
      <c r="F66" s="47"/>
      <c r="G66" s="11"/>
      <c r="H66" s="11"/>
      <c r="I66" s="11"/>
    </row>
    <row r="67" spans="2:9" ht="15.75">
      <c r="B67" s="55" t="s">
        <v>50</v>
      </c>
      <c r="C67" s="11"/>
      <c r="D67" s="11"/>
      <c r="E67" s="11"/>
      <c r="F67" s="56">
        <f>-182865.01-114383.42</f>
        <v>-297248.43</v>
      </c>
      <c r="G67" s="56" t="s">
        <v>47</v>
      </c>
      <c r="H67" s="11"/>
      <c r="I67" s="11"/>
    </row>
    <row r="68" spans="2:9" ht="12.75">
      <c r="B68" s="57" t="s">
        <v>51</v>
      </c>
      <c r="C68" s="11"/>
      <c r="D68" s="11"/>
      <c r="E68" s="11"/>
      <c r="F68" s="47"/>
      <c r="G68" s="11"/>
      <c r="H68" s="11"/>
      <c r="I68" s="11"/>
    </row>
    <row r="69" spans="2:9" ht="12.75">
      <c r="B69" s="57" t="s">
        <v>52</v>
      </c>
      <c r="C69" s="11"/>
      <c r="D69" s="11"/>
      <c r="E69" s="11"/>
      <c r="F69" s="47"/>
      <c r="G69" s="11"/>
      <c r="H69" s="11"/>
      <c r="I69" s="11"/>
    </row>
    <row r="70" spans="2:9" ht="12.75">
      <c r="B70" s="33"/>
      <c r="C70" s="62"/>
      <c r="D70" s="62"/>
      <c r="E70" s="62"/>
      <c r="F70" s="62"/>
      <c r="G70" s="62"/>
      <c r="H70" s="62"/>
      <c r="I70" s="62"/>
    </row>
    <row r="71" spans="1:9" ht="15.75">
      <c r="A71" s="11"/>
      <c r="B71" s="58" t="s">
        <v>53</v>
      </c>
      <c r="C71" s="58"/>
      <c r="D71" s="58"/>
      <c r="E71" s="11"/>
      <c r="F71" s="56">
        <f>F62+F67</f>
        <v>-311130.71999999986</v>
      </c>
      <c r="G71" s="56" t="s">
        <v>47</v>
      </c>
      <c r="H71" s="11"/>
      <c r="I71" s="11"/>
    </row>
    <row r="72" spans="1:9" ht="12.75">
      <c r="A72" s="11"/>
      <c r="B72" s="38" t="s">
        <v>48</v>
      </c>
      <c r="C72" s="38"/>
      <c r="D72" s="11"/>
      <c r="E72" s="11"/>
      <c r="F72" s="47"/>
      <c r="G72" s="11"/>
      <c r="H72" s="11"/>
      <c r="I72" s="11"/>
    </row>
    <row r="73" spans="1:9" ht="12.75">
      <c r="A73" s="11"/>
      <c r="B73" s="38" t="s">
        <v>49</v>
      </c>
      <c r="C73" s="11"/>
      <c r="D73" s="11"/>
      <c r="E73" s="11"/>
      <c r="F73" s="47"/>
      <c r="G73" s="11"/>
      <c r="H73" s="11"/>
      <c r="I73" s="11"/>
    </row>
    <row r="74" spans="2:6" ht="14.25">
      <c r="B74" s="121"/>
      <c r="C74" s="121"/>
      <c r="D74" s="121"/>
      <c r="E74" s="121"/>
      <c r="F74" s="121"/>
    </row>
    <row r="75" spans="2:6" ht="14.25">
      <c r="B75" s="121"/>
      <c r="C75" s="121"/>
      <c r="D75" s="121"/>
      <c r="E75" s="121"/>
      <c r="F75" s="121"/>
    </row>
    <row r="76" spans="2:6" ht="14.25">
      <c r="B76" s="121"/>
      <c r="C76" s="121"/>
      <c r="D76" s="121"/>
      <c r="E76" s="121"/>
      <c r="F76" s="121"/>
    </row>
    <row r="77" spans="2:6" ht="14.25">
      <c r="B77" s="121"/>
      <c r="C77" s="121"/>
      <c r="D77" s="121"/>
      <c r="E77" s="121"/>
      <c r="F77" s="121"/>
    </row>
    <row r="79" s="33" customFormat="1" ht="12.75">
      <c r="C79" s="59" t="s">
        <v>54</v>
      </c>
    </row>
    <row r="80" spans="2:9" ht="12.75">
      <c r="B80" s="33"/>
      <c r="C80" s="62"/>
      <c r="D80" s="62"/>
      <c r="E80" s="62"/>
      <c r="F80" s="62"/>
      <c r="G80" s="62"/>
      <c r="H80" s="62"/>
      <c r="I80" s="62"/>
    </row>
    <row r="81" spans="2:6" ht="15">
      <c r="B81" s="60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  <row r="83" spans="2:6" ht="14.25">
      <c r="B83" s="121"/>
      <c r="C83" s="121"/>
      <c r="D83" s="121"/>
      <c r="E83" s="121"/>
      <c r="F83" s="121"/>
    </row>
    <row r="84" spans="2:6" ht="14.25">
      <c r="B84" s="121"/>
      <c r="C84" s="121"/>
      <c r="D84" s="121"/>
      <c r="E84" s="121"/>
      <c r="F84" s="121"/>
    </row>
    <row r="85" spans="2:6" ht="14.25">
      <c r="B85" s="121"/>
      <c r="C85" s="121"/>
      <c r="D85" s="121"/>
      <c r="E85" s="121"/>
      <c r="F85" s="121"/>
    </row>
    <row r="86" spans="2:6" ht="14.25">
      <c r="B86" s="121"/>
      <c r="C86" s="121"/>
      <c r="D86" s="121"/>
      <c r="E86" s="121"/>
      <c r="F86" s="121"/>
    </row>
    <row r="87" spans="2:6" ht="14.25">
      <c r="B87" s="121"/>
      <c r="C87" s="121"/>
      <c r="D87" s="121"/>
      <c r="E87" s="121"/>
      <c r="F87" s="121"/>
    </row>
    <row r="88" spans="2:6" ht="14.25">
      <c r="B88" s="121"/>
      <c r="C88" s="121"/>
      <c r="D88" s="121"/>
      <c r="E88" s="121"/>
      <c r="F88" s="121"/>
    </row>
  </sheetData>
  <sheetProtection/>
  <mergeCells count="19">
    <mergeCell ref="B38:B39"/>
    <mergeCell ref="C38:C39"/>
    <mergeCell ref="D38:D39"/>
    <mergeCell ref="E38:E39"/>
    <mergeCell ref="F38:F39"/>
    <mergeCell ref="G38:G39"/>
    <mergeCell ref="B13:G13"/>
    <mergeCell ref="B36:B37"/>
    <mergeCell ref="C36:C37"/>
    <mergeCell ref="D36:D37"/>
    <mergeCell ref="E36:E37"/>
    <mergeCell ref="F36:F37"/>
    <mergeCell ref="G36:G37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I82"/>
  <sheetViews>
    <sheetView zoomScalePageLayoutView="0" workbookViewId="0" topLeftCell="A49">
      <selection activeCell="F29" sqref="F29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5.00390625" style="4" customWidth="1"/>
    <col min="8" max="8" width="10.140625" style="4" bestFit="1" customWidth="1"/>
    <col min="9" max="9" width="9.140625" style="4" customWidth="1"/>
    <col min="10" max="10" width="12.57421875" style="4" customWidth="1"/>
    <col min="11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135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11"/>
      <c r="D5" s="11"/>
      <c r="E5" s="11"/>
      <c r="F5" s="11"/>
      <c r="G5" s="11"/>
      <c r="H5" s="11"/>
      <c r="I5" s="11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11"/>
      <c r="I6" s="12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11"/>
      <c r="I7" s="11"/>
    </row>
    <row r="8" spans="2:9" ht="13.5" thickBot="1">
      <c r="B8" s="17" t="s">
        <v>12</v>
      </c>
      <c r="C8" s="18"/>
      <c r="D8" s="18"/>
      <c r="E8" s="18"/>
      <c r="F8" s="18"/>
      <c r="G8" s="19"/>
      <c r="H8" s="11"/>
      <c r="I8" s="11"/>
    </row>
    <row r="9" spans="2:9" ht="38.25" customHeight="1">
      <c r="B9" s="20" t="s">
        <v>13</v>
      </c>
      <c r="C9" s="21">
        <f>'[17]Sheet1'!$N$15</f>
        <v>1009687</v>
      </c>
      <c r="D9" s="21">
        <f>'[17]Sheet1'!$R$15</f>
        <v>1053609</v>
      </c>
      <c r="E9" s="21">
        <f>D9-C9</f>
        <v>43922</v>
      </c>
      <c r="F9" s="21">
        <f>C9</f>
        <v>1009687</v>
      </c>
      <c r="G9" s="21">
        <f>C9-F9</f>
        <v>0</v>
      </c>
      <c r="H9" s="11"/>
      <c r="I9" s="22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11"/>
      <c r="I10" s="11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11"/>
      <c r="I11" s="11"/>
    </row>
    <row r="12" spans="2:9" ht="13.5" thickBot="1">
      <c r="B12" s="26" t="s">
        <v>16</v>
      </c>
      <c r="C12" s="27">
        <f>C9</f>
        <v>1009687</v>
      </c>
      <c r="D12" s="27">
        <f>D9</f>
        <v>1053609</v>
      </c>
      <c r="E12" s="27">
        <f>E9</f>
        <v>43922</v>
      </c>
      <c r="F12" s="27">
        <f>F9</f>
        <v>1009687</v>
      </c>
      <c r="G12" s="27">
        <f>G9</f>
        <v>0</v>
      </c>
      <c r="H12" s="11"/>
      <c r="I12" s="11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11"/>
      <c r="I13" s="11"/>
    </row>
    <row r="14" spans="2:9" ht="25.5" customHeight="1" thickBot="1">
      <c r="B14" s="24" t="s">
        <v>68</v>
      </c>
      <c r="C14" s="31">
        <f>'[17]Sheet1'!$N$17</f>
        <v>92911</v>
      </c>
      <c r="D14" s="31">
        <f>'[17]Sheet1'!$R$17</f>
        <v>96530</v>
      </c>
      <c r="E14" s="31">
        <f>D14-C14</f>
        <v>3619</v>
      </c>
      <c r="F14" s="31">
        <f aca="true" t="shared" si="0" ref="F14:F21">C14</f>
        <v>92911</v>
      </c>
      <c r="G14" s="31">
        <f>C14-F14</f>
        <v>0</v>
      </c>
      <c r="H14" s="11"/>
      <c r="I14" s="11"/>
    </row>
    <row r="15" spans="2:9" ht="27" customHeight="1" thickBot="1">
      <c r="B15" s="24" t="s">
        <v>18</v>
      </c>
      <c r="C15" s="31">
        <f>'[17]Sheet1'!$N$18</f>
        <v>298279</v>
      </c>
      <c r="D15" s="31">
        <f>'[17]Sheet1'!$R$18</f>
        <v>311256</v>
      </c>
      <c r="E15" s="31">
        <f aca="true" t="shared" si="1" ref="E15:E21">D15-C15</f>
        <v>12977</v>
      </c>
      <c r="F15" s="31">
        <f t="shared" si="0"/>
        <v>298279</v>
      </c>
      <c r="G15" s="31">
        <f aca="true" t="shared" si="2" ref="G15:G21">C15-F15</f>
        <v>0</v>
      </c>
      <c r="H15" s="11"/>
      <c r="I15" s="11"/>
    </row>
    <row r="16" spans="2:9" ht="25.5" customHeight="1" thickBot="1">
      <c r="B16" s="24" t="s">
        <v>19</v>
      </c>
      <c r="C16" s="31">
        <f>'[17]Sheet1'!$N$19</f>
        <v>19657</v>
      </c>
      <c r="D16" s="31">
        <f>'[17]Sheet1'!$R$19</f>
        <v>20510</v>
      </c>
      <c r="E16" s="31">
        <f t="shared" si="1"/>
        <v>853</v>
      </c>
      <c r="F16" s="31">
        <f t="shared" si="0"/>
        <v>19657</v>
      </c>
      <c r="G16" s="31">
        <f t="shared" si="2"/>
        <v>0</v>
      </c>
      <c r="H16" s="11"/>
      <c r="I16" s="11"/>
    </row>
    <row r="17" spans="2:9" ht="25.5" customHeight="1" thickBot="1">
      <c r="B17" s="24" t="s">
        <v>20</v>
      </c>
      <c r="C17" s="31">
        <f>'[17]Sheet1'!$N$20</f>
        <v>84548</v>
      </c>
      <c r="D17" s="31">
        <f>'[17]Sheet1'!$R$20</f>
        <v>88226</v>
      </c>
      <c r="E17" s="31">
        <f t="shared" si="1"/>
        <v>3678</v>
      </c>
      <c r="F17" s="31">
        <f t="shared" si="0"/>
        <v>84548</v>
      </c>
      <c r="G17" s="31">
        <f t="shared" si="2"/>
        <v>0</v>
      </c>
      <c r="H17" s="11"/>
      <c r="I17" s="11"/>
    </row>
    <row r="18" spans="2:9" ht="17.25" customHeight="1" thickBot="1">
      <c r="B18" s="24" t="s">
        <v>56</v>
      </c>
      <c r="C18" s="31">
        <f>'[17]Sheet1'!$N$25</f>
        <v>1351316</v>
      </c>
      <c r="D18" s="31">
        <f>'[17]Sheet1'!$R$25</f>
        <v>1410068</v>
      </c>
      <c r="E18" s="31">
        <f t="shared" si="1"/>
        <v>58752</v>
      </c>
      <c r="F18" s="31">
        <f t="shared" si="0"/>
        <v>1351316</v>
      </c>
      <c r="G18" s="31">
        <f>C18-F18</f>
        <v>0</v>
      </c>
      <c r="H18" s="11"/>
      <c r="I18" s="11"/>
    </row>
    <row r="19" spans="2:9" ht="17.25" customHeight="1" thickBot="1">
      <c r="B19" s="24" t="s">
        <v>57</v>
      </c>
      <c r="C19" s="31">
        <f>'[17]Sheet1'!$N$24</f>
        <v>393440</v>
      </c>
      <c r="D19" s="31">
        <f>'[17]Sheet1'!$R$24</f>
        <v>410556</v>
      </c>
      <c r="E19" s="31">
        <f t="shared" si="1"/>
        <v>17116</v>
      </c>
      <c r="F19" s="31">
        <f t="shared" si="0"/>
        <v>393440</v>
      </c>
      <c r="G19" s="31">
        <f>C19-F19</f>
        <v>0</v>
      </c>
      <c r="H19" s="11"/>
      <c r="I19" s="11"/>
    </row>
    <row r="20" spans="2:9" ht="25.5" customHeight="1" thickBot="1">
      <c r="B20" s="24" t="s">
        <v>21</v>
      </c>
      <c r="C20" s="31">
        <f>'[17]Sheet1'!$N$26</f>
        <v>797004</v>
      </c>
      <c r="D20" s="31">
        <f>'[17]Sheet1'!$R$26</f>
        <v>831676</v>
      </c>
      <c r="E20" s="31">
        <f t="shared" si="1"/>
        <v>34672</v>
      </c>
      <c r="F20" s="31">
        <f t="shared" si="0"/>
        <v>797004</v>
      </c>
      <c r="G20" s="31">
        <f t="shared" si="2"/>
        <v>0</v>
      </c>
      <c r="H20" s="11"/>
      <c r="I20" s="11"/>
    </row>
    <row r="21" spans="2:9" ht="25.5" customHeight="1" thickBot="1">
      <c r="B21" s="24" t="s">
        <v>22</v>
      </c>
      <c r="C21" s="31">
        <f>'[17]Sheet1'!$N$41+'[17]Sheet1'!$N$42</f>
        <v>92597</v>
      </c>
      <c r="D21" s="31">
        <f>'[17]Sheet1'!$R$41+'[17]Sheet1'!$R$42</f>
        <v>96625</v>
      </c>
      <c r="E21" s="31">
        <f t="shared" si="1"/>
        <v>4028</v>
      </c>
      <c r="F21" s="31">
        <f t="shared" si="0"/>
        <v>92597</v>
      </c>
      <c r="G21" s="31">
        <f t="shared" si="2"/>
        <v>0</v>
      </c>
      <c r="H21" s="11"/>
      <c r="I21" s="11"/>
    </row>
    <row r="22" spans="2:9" ht="13.5" thickBot="1">
      <c r="B22" s="26" t="s">
        <v>16</v>
      </c>
      <c r="C22" s="27">
        <f>SUM(C14:C21)</f>
        <v>3129752</v>
      </c>
      <c r="D22" s="27">
        <f>SUM(D14:D21)</f>
        <v>3265447</v>
      </c>
      <c r="E22" s="27">
        <f>SUM(E14:E21)</f>
        <v>135695</v>
      </c>
      <c r="F22" s="27">
        <f>SUM(F14:F21)</f>
        <v>3129752</v>
      </c>
      <c r="G22" s="27">
        <f>SUM(G14:G21)</f>
        <v>0</v>
      </c>
      <c r="H22" s="11"/>
      <c r="I22" s="11"/>
    </row>
    <row r="23" spans="2:9" ht="13.5" thickBot="1">
      <c r="B23" s="32" t="s">
        <v>23</v>
      </c>
      <c r="C23" s="27">
        <f>C12+C22</f>
        <v>4139439</v>
      </c>
      <c r="D23" s="27">
        <f>D12+D22</f>
        <v>4319056</v>
      </c>
      <c r="E23" s="27">
        <f>E12+E22</f>
        <v>179617</v>
      </c>
      <c r="F23" s="27">
        <f>F12+F22</f>
        <v>4139439</v>
      </c>
      <c r="G23" s="27">
        <f>G12+G22</f>
        <v>0</v>
      </c>
      <c r="H23" s="11"/>
      <c r="I23" s="11"/>
    </row>
    <row r="24" spans="2:9" ht="12.75">
      <c r="B24" s="33"/>
      <c r="C24" s="11"/>
      <c r="D24" s="11"/>
      <c r="E24" s="11"/>
      <c r="F24" s="11"/>
      <c r="G24" s="11"/>
      <c r="H24" s="11"/>
      <c r="I24" s="11"/>
    </row>
    <row r="25" spans="2:9" ht="13.5" thickBot="1">
      <c r="B25" s="10" t="s">
        <v>24</v>
      </c>
      <c r="C25" s="11"/>
      <c r="D25" s="11"/>
      <c r="E25" s="11"/>
      <c r="F25" s="11"/>
      <c r="G25" s="11"/>
      <c r="H25" s="11"/>
      <c r="I25" s="11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11"/>
      <c r="I26" s="11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11"/>
      <c r="I27" s="11"/>
    </row>
    <row r="28" spans="2:9" ht="38.25" customHeight="1" thickBot="1">
      <c r="B28" s="24" t="s">
        <v>27</v>
      </c>
      <c r="C28" s="36">
        <f>'[17]Sheet1'!$N$12</f>
        <v>1889252</v>
      </c>
      <c r="D28" s="36">
        <f>'[17]Sheet1'!$R$12</f>
        <v>1971432</v>
      </c>
      <c r="E28" s="36">
        <f>D28-C28</f>
        <v>82180</v>
      </c>
      <c r="F28" s="123">
        <f>698679+92883+103845+259991+104674+122037+119360</f>
        <v>1501469</v>
      </c>
      <c r="G28" s="36">
        <f>C28-F28</f>
        <v>387783</v>
      </c>
      <c r="H28" s="22"/>
      <c r="I28" s="11"/>
    </row>
    <row r="29" spans="2:9" ht="13.5" thickBot="1">
      <c r="B29" s="26" t="s">
        <v>28</v>
      </c>
      <c r="C29" s="37">
        <f>C28</f>
        <v>1889252</v>
      </c>
      <c r="D29" s="37">
        <f>D28</f>
        <v>1971432</v>
      </c>
      <c r="E29" s="37">
        <f>E28</f>
        <v>82180</v>
      </c>
      <c r="F29" s="37">
        <f>F28</f>
        <v>1501469</v>
      </c>
      <c r="G29" s="37">
        <f>G28</f>
        <v>387783</v>
      </c>
      <c r="H29" s="11"/>
      <c r="I29" s="11"/>
    </row>
    <row r="30" spans="2:9" ht="12.75">
      <c r="B30" s="38"/>
      <c r="C30" s="11"/>
      <c r="D30" s="11"/>
      <c r="E30" s="11"/>
      <c r="F30" s="11"/>
      <c r="G30" s="11"/>
      <c r="H30" s="11"/>
      <c r="I30" s="11"/>
    </row>
    <row r="31" spans="2:9" ht="13.5" thickBot="1">
      <c r="B31" s="10" t="s">
        <v>29</v>
      </c>
      <c r="C31" s="11"/>
      <c r="D31" s="11"/>
      <c r="E31" s="11"/>
      <c r="F31" s="11"/>
      <c r="G31" s="11"/>
      <c r="H31" s="11"/>
      <c r="I31" s="11"/>
    </row>
    <row r="32" spans="2:9" ht="103.5" customHeight="1" thickBot="1">
      <c r="B32" s="34" t="s">
        <v>4</v>
      </c>
      <c r="C32" s="13" t="s">
        <v>30</v>
      </c>
      <c r="D32" s="39" t="s">
        <v>31</v>
      </c>
      <c r="E32" s="35" t="s">
        <v>7</v>
      </c>
      <c r="F32" s="13" t="s">
        <v>32</v>
      </c>
      <c r="G32" s="34" t="s">
        <v>9</v>
      </c>
      <c r="H32" s="11"/>
      <c r="I32" s="11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11"/>
      <c r="I33" s="11"/>
    </row>
    <row r="34" spans="2:9" ht="16.5" customHeight="1">
      <c r="B34" s="40" t="s">
        <v>33</v>
      </c>
      <c r="C34" s="21">
        <f>'[17]Sheet1'!$N$33</f>
        <v>1878522</v>
      </c>
      <c r="D34" s="21">
        <f>'[17]Sheet1'!$R$33</f>
        <v>1960986</v>
      </c>
      <c r="E34" s="21">
        <f>D34-C34</f>
        <v>82464</v>
      </c>
      <c r="F34" s="21">
        <f>C34</f>
        <v>1878522</v>
      </c>
      <c r="G34" s="21">
        <f>C34-F34</f>
        <v>0</v>
      </c>
      <c r="H34" s="11"/>
      <c r="I34" s="11"/>
    </row>
    <row r="35" spans="2:9" ht="24" customHeight="1" thickBot="1">
      <c r="B35" s="41"/>
      <c r="C35" s="42"/>
      <c r="D35" s="42"/>
      <c r="E35" s="42"/>
      <c r="F35" s="42"/>
      <c r="G35" s="42"/>
      <c r="H35" s="11"/>
      <c r="I35" s="11"/>
    </row>
    <row r="36" spans="2:9" ht="17.25" customHeight="1">
      <c r="B36" s="40" t="s">
        <v>34</v>
      </c>
      <c r="C36" s="21">
        <f>1544159.06+1625173.61+1559130.53+1548531.96+1550505.11+1597494.48+1491057.3</f>
        <v>10916052.05</v>
      </c>
      <c r="D36" s="21">
        <f>1430394.38+28659.13+1532033.89+54768.5+1468422.35+104001.5+1499780.23+26836.22+1451607.94+40221.43+1458286.99+182783.15+1419796.12+59016.07</f>
        <v>10756607.900000002</v>
      </c>
      <c r="E36" s="21">
        <f>D36-C36</f>
        <v>-159444.1499999985</v>
      </c>
      <c r="F36" s="21">
        <f>'[17]Sheet1'!$T$36</f>
        <v>9120198</v>
      </c>
      <c r="G36" s="21">
        <f>C36-F36</f>
        <v>1795854.0500000007</v>
      </c>
      <c r="H36" s="11"/>
      <c r="I36" s="11"/>
    </row>
    <row r="37" spans="2:9" ht="13.5" thickBot="1">
      <c r="B37" s="41"/>
      <c r="C37" s="124">
        <f>1392258.58+1484386.76+1426846.4+1408038.74+1450064.22+1421357.49+1337915.42</f>
        <v>9920867.61</v>
      </c>
      <c r="D37" s="42"/>
      <c r="E37" s="42"/>
      <c r="F37" s="42"/>
      <c r="G37" s="42"/>
      <c r="H37" s="11"/>
      <c r="I37" s="11"/>
    </row>
    <row r="38" spans="2:9" ht="13.5" thickBot="1">
      <c r="B38" s="32" t="s">
        <v>35</v>
      </c>
      <c r="C38" s="37">
        <f>C34+C36</f>
        <v>12794574.05</v>
      </c>
      <c r="D38" s="37">
        <f>D34+D36</f>
        <v>12717593.900000002</v>
      </c>
      <c r="E38" s="37">
        <f>E34+E36</f>
        <v>-76980.14999999851</v>
      </c>
      <c r="F38" s="37">
        <f>F34+F36</f>
        <v>10998720</v>
      </c>
      <c r="G38" s="37">
        <f>G34+G36</f>
        <v>1795854.0500000007</v>
      </c>
      <c r="H38" s="11"/>
      <c r="I38" s="11"/>
    </row>
    <row r="39" spans="2:9" ht="12.75">
      <c r="B39" s="33"/>
      <c r="C39" s="11"/>
      <c r="D39" s="11"/>
      <c r="E39" s="11"/>
      <c r="F39" s="11"/>
      <c r="G39" s="11"/>
      <c r="H39" s="11"/>
      <c r="I39" s="11"/>
    </row>
    <row r="40" spans="2:9" ht="12.75">
      <c r="B40" s="33"/>
      <c r="C40" s="11"/>
      <c r="D40" s="11"/>
      <c r="E40" s="11"/>
      <c r="F40" s="11"/>
      <c r="G40" s="11"/>
      <c r="H40" s="11"/>
      <c r="I40" s="11"/>
    </row>
    <row r="41" spans="2:9" ht="12.75">
      <c r="B41" s="43" t="s">
        <v>36</v>
      </c>
      <c r="C41" s="11"/>
      <c r="D41" s="11"/>
      <c r="E41" s="11"/>
      <c r="F41" s="11"/>
      <c r="G41" s="44">
        <f>F43+F44</f>
        <v>184816.8500000015</v>
      </c>
      <c r="H41" s="11"/>
      <c r="I41" s="11"/>
    </row>
    <row r="42" spans="2:9" ht="12.75">
      <c r="B42" s="45" t="s">
        <v>37</v>
      </c>
      <c r="C42" s="22"/>
      <c r="D42" s="11"/>
      <c r="E42" s="11"/>
      <c r="F42" s="11"/>
      <c r="G42" s="11"/>
      <c r="H42" s="11"/>
      <c r="I42" s="11"/>
    </row>
    <row r="43" spans="2:9" ht="12.75">
      <c r="B43" s="46" t="s">
        <v>38</v>
      </c>
      <c r="C43" s="11"/>
      <c r="D43" s="11"/>
      <c r="E43" s="11"/>
      <c r="F43" s="47">
        <f>(E23+E29)</f>
        <v>261797</v>
      </c>
      <c r="G43" s="11"/>
      <c r="H43" s="11"/>
      <c r="I43" s="11"/>
    </row>
    <row r="44" spans="2:9" ht="12.75">
      <c r="B44" s="46" t="s">
        <v>39</v>
      </c>
      <c r="C44" s="11"/>
      <c r="D44" s="11"/>
      <c r="E44" s="11"/>
      <c r="F44" s="47">
        <f>(E38)</f>
        <v>-76980.14999999851</v>
      </c>
      <c r="G44" s="11"/>
      <c r="H44" s="11"/>
      <c r="I44" s="11"/>
    </row>
    <row r="45" spans="2:9" ht="12.75">
      <c r="B45" s="46"/>
      <c r="C45" s="11"/>
      <c r="D45" s="11"/>
      <c r="E45" s="11"/>
      <c r="F45" s="47"/>
      <c r="G45" s="11"/>
      <c r="H45" s="11"/>
      <c r="I45" s="11"/>
    </row>
    <row r="46" spans="2:9" s="1" customFormat="1" ht="12.75">
      <c r="B46" s="48" t="s">
        <v>40</v>
      </c>
      <c r="C46" s="49"/>
      <c r="D46" s="49"/>
      <c r="E46" s="50"/>
      <c r="F46" s="51"/>
      <c r="G46" s="44">
        <f>F48+F49</f>
        <v>0</v>
      </c>
      <c r="H46" s="49"/>
      <c r="I46" s="49"/>
    </row>
    <row r="47" spans="2:9" s="1" customFormat="1" ht="12.75">
      <c r="B47" s="45" t="s">
        <v>37</v>
      </c>
      <c r="C47" s="49"/>
      <c r="D47" s="49"/>
      <c r="E47" s="50"/>
      <c r="F47" s="51"/>
      <c r="G47" s="52"/>
      <c r="H47" s="49"/>
      <c r="I47" s="49"/>
    </row>
    <row r="48" spans="2:9" s="1" customFormat="1" ht="12.75">
      <c r="B48" s="46" t="s">
        <v>41</v>
      </c>
      <c r="C48" s="49"/>
      <c r="D48" s="49"/>
      <c r="E48" s="50"/>
      <c r="F48" s="47">
        <f>IF(G23+G29&lt;=0,G23+G29,0)</f>
        <v>0</v>
      </c>
      <c r="G48" s="52"/>
      <c r="H48" s="49"/>
      <c r="I48" s="49"/>
    </row>
    <row r="49" spans="2:9" s="1" customFormat="1" ht="12.75">
      <c r="B49" s="46" t="s">
        <v>42</v>
      </c>
      <c r="C49" s="49"/>
      <c r="D49" s="49"/>
      <c r="E49" s="50"/>
      <c r="F49" s="47">
        <f>IF(G38&lt;=0,G38,0)</f>
        <v>0</v>
      </c>
      <c r="G49" s="52"/>
      <c r="H49" s="49"/>
      <c r="I49" s="49"/>
    </row>
    <row r="50" spans="2:9" s="1" customFormat="1" ht="12.75">
      <c r="B50" s="46"/>
      <c r="C50" s="49"/>
      <c r="D50" s="49"/>
      <c r="E50" s="50"/>
      <c r="F50" s="51"/>
      <c r="G50" s="52"/>
      <c r="H50" s="49"/>
      <c r="I50" s="49"/>
    </row>
    <row r="51" spans="2:9" s="1" customFormat="1" ht="12.75">
      <c r="B51" s="48" t="s">
        <v>60</v>
      </c>
      <c r="C51" s="49"/>
      <c r="D51" s="49"/>
      <c r="E51" s="50"/>
      <c r="F51" s="51"/>
      <c r="G51" s="44">
        <f>F53+F54</f>
        <v>2183637.0500000007</v>
      </c>
      <c r="H51" s="49"/>
      <c r="I51" s="49"/>
    </row>
    <row r="52" spans="2:9" ht="12.75">
      <c r="B52" s="45" t="s">
        <v>37</v>
      </c>
      <c r="C52" s="11"/>
      <c r="D52" s="11"/>
      <c r="E52" s="11"/>
      <c r="F52" s="33"/>
      <c r="G52" s="52"/>
      <c r="H52" s="11"/>
      <c r="I52" s="11"/>
    </row>
    <row r="53" spans="2:9" ht="12.75">
      <c r="B53" s="46" t="s">
        <v>41</v>
      </c>
      <c r="C53" s="11"/>
      <c r="D53" s="11"/>
      <c r="E53" s="11"/>
      <c r="F53" s="47">
        <f>IF(G23+G29&gt;=0,G23+G29,0)</f>
        <v>387783</v>
      </c>
      <c r="G53" s="11"/>
      <c r="H53" s="11"/>
      <c r="I53" s="11"/>
    </row>
    <row r="54" spans="2:9" ht="12.75">
      <c r="B54" s="46" t="s">
        <v>42</v>
      </c>
      <c r="C54" s="11"/>
      <c r="D54" s="11"/>
      <c r="E54" s="11"/>
      <c r="F54" s="47">
        <f>IF(G38&gt;=0,G38,0)</f>
        <v>1795854.0500000007</v>
      </c>
      <c r="G54" s="11"/>
      <c r="H54" s="11"/>
      <c r="I54" s="11"/>
    </row>
    <row r="55" spans="2:9" ht="12.75">
      <c r="B55" s="46"/>
      <c r="C55" s="11"/>
      <c r="D55" s="11"/>
      <c r="E55" s="11"/>
      <c r="F55" s="47"/>
      <c r="G55" s="11"/>
      <c r="H55" s="11"/>
      <c r="I55" s="11"/>
    </row>
    <row r="56" spans="2:9" ht="12.75">
      <c r="B56" s="53" t="s">
        <v>44</v>
      </c>
      <c r="C56" s="11"/>
      <c r="D56" s="11"/>
      <c r="E56" s="11"/>
      <c r="F56" s="33"/>
      <c r="G56" s="11"/>
      <c r="H56" s="11"/>
      <c r="I56" s="11"/>
    </row>
    <row r="57" spans="2:9" ht="12.75">
      <c r="B57" s="33" t="s">
        <v>45</v>
      </c>
      <c r="C57" s="11"/>
      <c r="D57" s="11"/>
      <c r="E57" s="54"/>
      <c r="F57" s="51"/>
      <c r="G57" s="44">
        <f>1627.82+400+700+1800*14</f>
        <v>27927.82</v>
      </c>
      <c r="H57" s="11"/>
      <c r="I57" s="11"/>
    </row>
    <row r="58" spans="2:9" ht="12.75">
      <c r="B58" s="10"/>
      <c r="C58" s="11"/>
      <c r="D58" s="11"/>
      <c r="E58" s="11"/>
      <c r="F58" s="11"/>
      <c r="G58" s="11"/>
      <c r="H58" s="11"/>
      <c r="I58" s="11"/>
    </row>
    <row r="59" spans="2:9" ht="12.75">
      <c r="B59" s="46"/>
      <c r="C59" s="11"/>
      <c r="D59" s="11"/>
      <c r="E59" s="11"/>
      <c r="F59" s="47"/>
      <c r="G59" s="11"/>
      <c r="H59" s="11"/>
      <c r="I59" s="11"/>
    </row>
    <row r="60" spans="2:9" ht="15.75">
      <c r="B60" s="55" t="s">
        <v>46</v>
      </c>
      <c r="C60" s="11"/>
      <c r="D60" s="11"/>
      <c r="E60" s="11"/>
      <c r="F60" s="56">
        <f>G46+G51+G57</f>
        <v>2211564.8700000006</v>
      </c>
      <c r="G60" s="56" t="s">
        <v>47</v>
      </c>
      <c r="H60" s="11"/>
      <c r="I60" s="11"/>
    </row>
    <row r="61" spans="2:9" ht="12.75">
      <c r="B61" s="57" t="s">
        <v>48</v>
      </c>
      <c r="C61" s="11"/>
      <c r="D61" s="11"/>
      <c r="E61" s="11"/>
      <c r="F61" s="47"/>
      <c r="G61" s="11"/>
      <c r="H61" s="11"/>
      <c r="I61" s="11"/>
    </row>
    <row r="62" spans="2:9" ht="12.75">
      <c r="B62" s="57" t="s">
        <v>49</v>
      </c>
      <c r="C62" s="11"/>
      <c r="D62" s="11"/>
      <c r="E62" s="11"/>
      <c r="F62" s="47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5.75">
      <c r="B64" s="55" t="s">
        <v>50</v>
      </c>
      <c r="C64" s="11"/>
      <c r="D64" s="11"/>
      <c r="E64" s="11"/>
      <c r="F64" s="56">
        <f>-149300.77-157249.28-53002.04-113228.4-165238.74-135522.99-155622.53-75299.97-167894.19-221324.19-83622.59-97774.95-425646.06-259671.67</f>
        <v>-2260398.37</v>
      </c>
      <c r="G64" s="56" t="s">
        <v>47</v>
      </c>
      <c r="H64" s="11"/>
      <c r="I64" s="11"/>
    </row>
    <row r="65" spans="2:9" ht="12.75">
      <c r="B65" s="57" t="s">
        <v>51</v>
      </c>
      <c r="C65" s="11"/>
      <c r="D65" s="11"/>
      <c r="E65" s="11"/>
      <c r="F65" s="47"/>
      <c r="G65" s="11"/>
      <c r="H65" s="11"/>
      <c r="I65" s="11"/>
    </row>
    <row r="66" spans="2:9" ht="12.75">
      <c r="B66" s="57" t="s">
        <v>52</v>
      </c>
      <c r="C66" s="11"/>
      <c r="D66" s="11"/>
      <c r="E66" s="11"/>
      <c r="F66" s="47"/>
      <c r="G66" s="11"/>
      <c r="H66" s="11"/>
      <c r="I66" s="11"/>
    </row>
    <row r="67" spans="2:9" ht="12.75">
      <c r="B67" s="33"/>
      <c r="C67" s="11"/>
      <c r="D67" s="11"/>
      <c r="E67" s="11"/>
      <c r="F67" s="11"/>
      <c r="G67" s="11"/>
      <c r="H67" s="11"/>
      <c r="I67" s="11"/>
    </row>
    <row r="68" spans="1:9" ht="15.75">
      <c r="A68" s="11"/>
      <c r="B68" s="58" t="s">
        <v>53</v>
      </c>
      <c r="C68" s="58"/>
      <c r="D68" s="58"/>
      <c r="E68" s="11"/>
      <c r="F68" s="56">
        <f>F60+F64</f>
        <v>-48833.499999999534</v>
      </c>
      <c r="G68" s="56" t="s">
        <v>47</v>
      </c>
      <c r="H68" s="11"/>
      <c r="I68" s="11"/>
    </row>
    <row r="69" spans="1:9" ht="12.75">
      <c r="A69" s="11"/>
      <c r="B69" s="38" t="s">
        <v>48</v>
      </c>
      <c r="C69" s="38"/>
      <c r="D69" s="11"/>
      <c r="E69" s="11"/>
      <c r="F69" s="47"/>
      <c r="G69" s="11"/>
      <c r="H69" s="11"/>
      <c r="I69" s="11"/>
    </row>
    <row r="70" spans="1:9" ht="12.75">
      <c r="A70" s="11"/>
      <c r="B70" s="38" t="s">
        <v>49</v>
      </c>
      <c r="C70" s="11"/>
      <c r="D70" s="11"/>
      <c r="E70" s="11"/>
      <c r="F70" s="47"/>
      <c r="G70" s="11"/>
      <c r="H70" s="11"/>
      <c r="I70" s="11"/>
    </row>
    <row r="71" spans="2:6" ht="14.25">
      <c r="B71" s="61"/>
      <c r="C71" s="61"/>
      <c r="D71" s="61"/>
      <c r="E71" s="61"/>
      <c r="F71" s="61"/>
    </row>
    <row r="72" spans="2:9" ht="12.75">
      <c r="B72" s="33"/>
      <c r="C72" s="11"/>
      <c r="D72" s="11"/>
      <c r="E72" s="11"/>
      <c r="F72" s="11"/>
      <c r="G72" s="11"/>
      <c r="H72" s="11"/>
      <c r="I72" s="11"/>
    </row>
    <row r="73" spans="1:3" s="33" customFormat="1" ht="12.75">
      <c r="A73" s="51"/>
      <c r="C73" s="59" t="s">
        <v>54</v>
      </c>
    </row>
    <row r="74" spans="2:9" ht="12.75">
      <c r="B74" s="33"/>
      <c r="C74" s="11"/>
      <c r="D74" s="11"/>
      <c r="E74" s="11"/>
      <c r="F74" s="11"/>
      <c r="G74" s="11"/>
      <c r="H74" s="11"/>
      <c r="I74" s="11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3:G13"/>
    <mergeCell ref="B34:B35"/>
    <mergeCell ref="C34:C35"/>
    <mergeCell ref="D34:D35"/>
    <mergeCell ref="E34:E35"/>
    <mergeCell ref="F34:F35"/>
    <mergeCell ref="G34:G35"/>
    <mergeCell ref="B8:G8"/>
    <mergeCell ref="C9:C11"/>
    <mergeCell ref="D9:D11"/>
    <mergeCell ref="E9:E11"/>
    <mergeCell ref="F9:F11"/>
    <mergeCell ref="G9:G11"/>
  </mergeCells>
  <printOptions/>
  <pageMargins left="0.16" right="0.22" top="0.19" bottom="0.18" header="0.17" footer="0.17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52">
      <selection activeCell="E57" sqref="E57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136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'[18]Sheet1'!$N$15</f>
        <v>212317</v>
      </c>
      <c r="D10" s="21">
        <f>'[18]Sheet1'!$R$15</f>
        <v>225044</v>
      </c>
      <c r="E10" s="21">
        <f>D10-C10</f>
        <v>12727</v>
      </c>
      <c r="F10" s="21">
        <f>'[18]Sheet1'!$T$15</f>
        <v>212317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212317</v>
      </c>
      <c r="D13" s="27">
        <f>D10</f>
        <v>225044</v>
      </c>
      <c r="E13" s="27">
        <f>E10</f>
        <v>12727</v>
      </c>
      <c r="F13" s="27">
        <f>F10</f>
        <v>212317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f>'[18]Sheet1'!$N$17</f>
        <v>19980</v>
      </c>
      <c r="D15" s="31">
        <f>'[18]Sheet1'!$R$17</f>
        <v>21177</v>
      </c>
      <c r="E15" s="31">
        <f>D15-C15</f>
        <v>1197</v>
      </c>
      <c r="F15" s="31">
        <f>C15</f>
        <v>19980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'[18]Sheet1'!$N$18</f>
        <v>96219</v>
      </c>
      <c r="D16" s="31">
        <f>'[18]Sheet1'!$R$18</f>
        <v>101986</v>
      </c>
      <c r="E16" s="31">
        <f aca="true" t="shared" si="0" ref="E16:E22">D16-C16</f>
        <v>5767</v>
      </c>
      <c r="F16" s="31">
        <f>'[18]Sheet1'!$T$18</f>
        <v>96219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'[18]Sheet1'!$N$19</f>
        <v>8309</v>
      </c>
      <c r="D17" s="31">
        <f>'[18]Sheet1'!$R$19</f>
        <v>8807</v>
      </c>
      <c r="E17" s="31">
        <f t="shared" si="0"/>
        <v>498</v>
      </c>
      <c r="F17" s="31">
        <f>'[18]Sheet1'!$T$19</f>
        <v>8309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'[18]Sheet1'!$N$20</f>
        <v>18484</v>
      </c>
      <c r="D18" s="31">
        <f>'[18]Sheet1'!$R$20</f>
        <v>19592</v>
      </c>
      <c r="E18" s="31">
        <f t="shared" si="0"/>
        <v>1108</v>
      </c>
      <c r="F18" s="31">
        <f>'[18]Sheet1'!$T$20</f>
        <v>18484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125">
        <v>0</v>
      </c>
      <c r="D19" s="125">
        <v>0</v>
      </c>
      <c r="E19" s="125">
        <f t="shared" si="0"/>
        <v>0</v>
      </c>
      <c r="F19" s="125">
        <v>0</v>
      </c>
      <c r="G19" s="125">
        <f t="shared" si="1"/>
        <v>0</v>
      </c>
      <c r="H19" s="62"/>
      <c r="I19" s="62"/>
    </row>
    <row r="20" spans="2:9" ht="17.25" customHeight="1" thickBot="1">
      <c r="B20" s="24" t="s">
        <v>57</v>
      </c>
      <c r="C20" s="125">
        <v>0</v>
      </c>
      <c r="D20" s="125">
        <v>0</v>
      </c>
      <c r="E20" s="125">
        <f t="shared" si="0"/>
        <v>0</v>
      </c>
      <c r="F20" s="125">
        <v>0</v>
      </c>
      <c r="G20" s="125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'[18]Sheet1'!$N$26</f>
        <v>168623</v>
      </c>
      <c r="D21" s="31">
        <f>'[18]Sheet1'!$R$26</f>
        <v>178731</v>
      </c>
      <c r="E21" s="31">
        <f t="shared" si="0"/>
        <v>10108</v>
      </c>
      <c r="F21" s="31">
        <f>'[18]Sheet1'!$T$26</f>
        <v>168623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'[18]Sheet1'!$N$41+'[18]Sheet1'!$N$42</f>
        <v>30247</v>
      </c>
      <c r="D22" s="31">
        <f>'[18]Sheet1'!$R$41+'[18]Sheet1'!$R$42</f>
        <v>32060</v>
      </c>
      <c r="E22" s="31">
        <f t="shared" si="0"/>
        <v>1813</v>
      </c>
      <c r="F22" s="31">
        <f>'[18]Sheet1'!$T$41+'[18]Sheet1'!$T$42</f>
        <v>30247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341862</v>
      </c>
      <c r="D23" s="27">
        <f>SUM(D15:D22)</f>
        <v>362353</v>
      </c>
      <c r="E23" s="27">
        <f>SUM(E15:E22)</f>
        <v>20491</v>
      </c>
      <c r="F23" s="27">
        <f>SUM(F15:F22)</f>
        <v>341862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554179</v>
      </c>
      <c r="D24" s="27">
        <f>D13+D23</f>
        <v>587397</v>
      </c>
      <c r="E24" s="27">
        <f>E13+E23</f>
        <v>33218</v>
      </c>
      <c r="F24" s="27">
        <f>F13+F23</f>
        <v>554179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'[18]Sheet1'!$N$12</f>
        <v>427723</v>
      </c>
      <c r="D29" s="36">
        <f>'[18]Sheet1'!$R$12</f>
        <v>453362</v>
      </c>
      <c r="E29" s="36">
        <f>D29-C29</f>
        <v>25639</v>
      </c>
      <c r="F29" s="36">
        <f>'[18]Sheet1'!$U$12</f>
        <v>94354</v>
      </c>
      <c r="G29" s="36">
        <f>C29-F29</f>
        <v>333369</v>
      </c>
      <c r="H29" s="63"/>
      <c r="I29" s="62"/>
    </row>
    <row r="30" spans="2:9" ht="13.5" thickBot="1">
      <c r="B30" s="26" t="s">
        <v>28</v>
      </c>
      <c r="C30" s="37">
        <f>C29</f>
        <v>427723</v>
      </c>
      <c r="D30" s="37">
        <f>D29</f>
        <v>453362</v>
      </c>
      <c r="E30" s="37">
        <f>E29</f>
        <v>25639</v>
      </c>
      <c r="F30" s="37">
        <f>F29</f>
        <v>94354</v>
      </c>
      <c r="G30" s="37">
        <f>G29</f>
        <v>333369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'[18]Sheet1'!$N$33</f>
        <v>349977</v>
      </c>
      <c r="D35" s="21">
        <f>'[18]Sheet1'!$R$33</f>
        <v>370956</v>
      </c>
      <c r="E35" s="21">
        <f>D35-C35</f>
        <v>20979</v>
      </c>
      <c r="F35" s="21">
        <f>C35</f>
        <v>349977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2095563.31</v>
      </c>
      <c r="D37" s="21">
        <f>1934754.99+173045.3</f>
        <v>2107800.29</v>
      </c>
      <c r="E37" s="21">
        <f>D37-C37</f>
        <v>12236.979999999981</v>
      </c>
      <c r="F37" s="21">
        <f>'[18]Sheet1'!$T$36</f>
        <v>2490546</v>
      </c>
      <c r="G37" s="21">
        <f>C37-F37</f>
        <v>-394982.68999999994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2445540.31</v>
      </c>
      <c r="D39" s="37">
        <f>D35+D37</f>
        <v>2478756.29</v>
      </c>
      <c r="E39" s="37">
        <f>E35+E37</f>
        <v>33215.97999999998</v>
      </c>
      <c r="F39" s="37">
        <f>F35+F37</f>
        <v>2840523</v>
      </c>
      <c r="G39" s="37">
        <f>G35+G37</f>
        <v>-394982.68999999994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92072.97999999998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58857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33215.97999999998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-394982.68999999994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-394982.68999999994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333369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333369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-58885.869999999944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-396756.15-222294.32</f>
        <v>-619050.47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-677936.34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="33" customFormat="1" ht="12.75">
      <c r="C74" s="59" t="s">
        <v>54</v>
      </c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6" ht="15">
      <c r="B76" s="60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2">
      <selection activeCell="I28" sqref="I28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137</v>
      </c>
      <c r="E2" s="119"/>
      <c r="F2" s="119"/>
    </row>
    <row r="3" spans="2:6" ht="18.75">
      <c r="B3" s="119"/>
      <c r="D3" s="7" t="s">
        <v>2</v>
      </c>
      <c r="E3" s="119"/>
      <c r="F3" s="119"/>
    </row>
    <row r="4" spans="2:6" ht="9.75" customHeight="1">
      <c r="B4" s="8"/>
      <c r="C4" s="120"/>
      <c r="D4" s="120"/>
      <c r="E4" s="120"/>
      <c r="F4" s="120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'[19]Sheet1'!$N$15</f>
        <v>242236</v>
      </c>
      <c r="D9" s="21">
        <f>'[19]Sheet1'!$R$15</f>
        <v>268936</v>
      </c>
      <c r="E9" s="21">
        <f>D9-C9</f>
        <v>26700</v>
      </c>
      <c r="F9" s="21">
        <f>'[19]Sheet1'!$T$15</f>
        <v>242236</v>
      </c>
      <c r="G9" s="21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62"/>
      <c r="I11" s="62"/>
    </row>
    <row r="12" spans="2:9" ht="13.5" thickBot="1">
      <c r="B12" s="26" t="s">
        <v>16</v>
      </c>
      <c r="C12" s="27">
        <f>C9</f>
        <v>242236</v>
      </c>
      <c r="D12" s="27">
        <f>D9</f>
        <v>268936</v>
      </c>
      <c r="E12" s="27">
        <f>E9</f>
        <v>26700</v>
      </c>
      <c r="F12" s="27">
        <f>F9</f>
        <v>242236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68</v>
      </c>
      <c r="C14" s="31">
        <v>0</v>
      </c>
      <c r="D14" s="31">
        <v>0</v>
      </c>
      <c r="E14" s="31">
        <f>D14-C14</f>
        <v>0</v>
      </c>
      <c r="F14" s="31">
        <f>C14</f>
        <v>0</v>
      </c>
      <c r="G14" s="31">
        <f>C14-F14</f>
        <v>0</v>
      </c>
      <c r="H14" s="62"/>
      <c r="I14" s="62"/>
    </row>
    <row r="15" spans="2:9" ht="27" customHeight="1" thickBot="1">
      <c r="B15" s="24" t="s">
        <v>18</v>
      </c>
      <c r="C15" s="31">
        <f>'[19]Sheet1'!$N$18</f>
        <v>91637</v>
      </c>
      <c r="D15" s="31">
        <f>'[19]Sheet1'!$R$18</f>
        <v>101737</v>
      </c>
      <c r="E15" s="31">
        <f aca="true" t="shared" si="0" ref="E15:E21">D15-C15</f>
        <v>10100</v>
      </c>
      <c r="F15" s="31">
        <f>'[19]Sheet1'!$T$18</f>
        <v>91637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'[19]Sheet1'!$N$19</f>
        <v>7901</v>
      </c>
      <c r="D16" s="31">
        <f>'[19]Sheet1'!$R$19</f>
        <v>8772</v>
      </c>
      <c r="E16" s="31">
        <f t="shared" si="0"/>
        <v>871</v>
      </c>
      <c r="F16" s="31">
        <f>'[19]Sheet1'!$T$19</f>
        <v>7901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'[19]Sheet1'!$N$20</f>
        <v>17759</v>
      </c>
      <c r="D17" s="31">
        <f>'[19]Sheet1'!$R$20</f>
        <v>19717</v>
      </c>
      <c r="E17" s="31">
        <f t="shared" si="0"/>
        <v>1958</v>
      </c>
      <c r="F17" s="31">
        <f>'[19]Sheet1'!$T$20</f>
        <v>17759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v>0</v>
      </c>
      <c r="D19" s="31">
        <v>0</v>
      </c>
      <c r="E19" s="31">
        <f t="shared" si="0"/>
        <v>0</v>
      </c>
      <c r="F19" s="31">
        <f>C19</f>
        <v>0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'[19]Sheet1'!$N$26</f>
        <v>161768</v>
      </c>
      <c r="D20" s="31">
        <f>'[19]Sheet1'!$R$26</f>
        <v>179599</v>
      </c>
      <c r="E20" s="31">
        <f t="shared" si="0"/>
        <v>17831</v>
      </c>
      <c r="F20" s="31">
        <f>'[19]Sheet1'!$T$26</f>
        <v>161768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'[19]Sheet1'!$N$41+'[19]Sheet1'!$N$42</f>
        <v>28705</v>
      </c>
      <c r="D21" s="31">
        <f>'[19]Sheet1'!$R$41+'[19]Sheet1'!$R$42</f>
        <v>31868</v>
      </c>
      <c r="E21" s="31">
        <f t="shared" si="0"/>
        <v>3163</v>
      </c>
      <c r="F21" s="31">
        <f>'[19]Sheet1'!$T$41+'[19]Sheet1'!$T$42</f>
        <v>28705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SUM(C14:C21)</f>
        <v>307770</v>
      </c>
      <c r="D22" s="27">
        <f>SUM(D14:D21)</f>
        <v>341693</v>
      </c>
      <c r="E22" s="27">
        <f>SUM(E14:E21)</f>
        <v>33923</v>
      </c>
      <c r="F22" s="27">
        <f>SUM(F14:F21)</f>
        <v>307770</v>
      </c>
      <c r="G22" s="27">
        <f>SUM(G14:G21)</f>
        <v>0</v>
      </c>
      <c r="H22" s="62"/>
      <c r="I22" s="62"/>
    </row>
    <row r="23" spans="2:9" ht="13.5" thickBot="1">
      <c r="B23" s="32" t="s">
        <v>23</v>
      </c>
      <c r="C23" s="27">
        <f>C12+C22</f>
        <v>550006</v>
      </c>
      <c r="D23" s="27">
        <f>D12+D22</f>
        <v>610629</v>
      </c>
      <c r="E23" s="27">
        <f>E12+E22</f>
        <v>60623</v>
      </c>
      <c r="F23" s="27">
        <f>F12+F22</f>
        <v>550006</v>
      </c>
      <c r="G23" s="27">
        <f>G12+G22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3.5" thickBot="1">
      <c r="B25" s="10" t="s">
        <v>24</v>
      </c>
      <c r="C25" s="62"/>
      <c r="D25" s="62"/>
      <c r="E25" s="62"/>
      <c r="F25" s="62"/>
      <c r="G25" s="62"/>
      <c r="H25" s="62"/>
      <c r="I25" s="62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62"/>
      <c r="I26" s="62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62"/>
      <c r="I27" s="62"/>
    </row>
    <row r="28" spans="2:9" ht="38.25" customHeight="1" thickBot="1">
      <c r="B28" s="24" t="s">
        <v>27</v>
      </c>
      <c r="C28" s="36">
        <f>'[19]Sheet1'!$N$12</f>
        <v>430396</v>
      </c>
      <c r="D28" s="36">
        <f>'[19]Sheet1'!$R$12</f>
        <v>477835</v>
      </c>
      <c r="E28" s="36">
        <f>D28-C28</f>
        <v>47439</v>
      </c>
      <c r="F28" s="36">
        <v>161717</v>
      </c>
      <c r="G28" s="36">
        <f>C28-F28</f>
        <v>268679</v>
      </c>
      <c r="H28" s="63"/>
      <c r="I28" s="62"/>
    </row>
    <row r="29" spans="2:9" ht="13.5" thickBot="1">
      <c r="B29" s="26" t="s">
        <v>28</v>
      </c>
      <c r="C29" s="37">
        <f>C28</f>
        <v>430396</v>
      </c>
      <c r="D29" s="37">
        <f>D28</f>
        <v>477835</v>
      </c>
      <c r="E29" s="37">
        <f>E28</f>
        <v>47439</v>
      </c>
      <c r="F29" s="37">
        <f>F28</f>
        <v>161717</v>
      </c>
      <c r="G29" s="37">
        <f>G28</f>
        <v>268679</v>
      </c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3.5" thickBot="1">
      <c r="B31" s="10" t="s">
        <v>29</v>
      </c>
      <c r="C31" s="62"/>
      <c r="D31" s="62"/>
      <c r="E31" s="62"/>
      <c r="F31" s="62"/>
      <c r="G31" s="62"/>
      <c r="H31" s="62"/>
      <c r="I31" s="62"/>
    </row>
    <row r="32" spans="2:9" ht="103.5" customHeight="1" thickBot="1">
      <c r="B32" s="34" t="s">
        <v>4</v>
      </c>
      <c r="C32" s="13" t="s">
        <v>30</v>
      </c>
      <c r="D32" s="39" t="s">
        <v>31</v>
      </c>
      <c r="E32" s="35" t="s">
        <v>7</v>
      </c>
      <c r="F32" s="13" t="s">
        <v>32</v>
      </c>
      <c r="G32" s="34" t="s">
        <v>9</v>
      </c>
      <c r="H32" s="62"/>
      <c r="I32" s="62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62"/>
      <c r="I33" s="62"/>
    </row>
    <row r="34" spans="2:9" ht="16.5" customHeight="1">
      <c r="B34" s="40" t="s">
        <v>33</v>
      </c>
      <c r="C34" s="21">
        <f>'[19]Sheet1'!$N$33</f>
        <v>381767</v>
      </c>
      <c r="D34" s="21">
        <f>'[19]Sheet1'!$R$33</f>
        <v>423846</v>
      </c>
      <c r="E34" s="21">
        <f>D34-C34</f>
        <v>42079</v>
      </c>
      <c r="F34" s="21">
        <f>C34</f>
        <v>381767</v>
      </c>
      <c r="G34" s="21">
        <f>C34-F34</f>
        <v>0</v>
      </c>
      <c r="H34" s="62"/>
      <c r="I34" s="62"/>
    </row>
    <row r="35" spans="2:9" ht="24" customHeight="1" thickBot="1">
      <c r="B35" s="41"/>
      <c r="C35" s="42"/>
      <c r="D35" s="42"/>
      <c r="E35" s="42"/>
      <c r="F35" s="42"/>
      <c r="G35" s="42"/>
      <c r="H35" s="62"/>
      <c r="I35" s="62"/>
    </row>
    <row r="36" spans="2:9" ht="17.25" customHeight="1">
      <c r="B36" s="40" t="s">
        <v>34</v>
      </c>
      <c r="C36" s="21">
        <f>2184359.88</f>
        <v>2184359.88</v>
      </c>
      <c r="D36" s="21">
        <f>1942894.59+183461.88</f>
        <v>2126356.47</v>
      </c>
      <c r="E36" s="21">
        <f>D36-C36</f>
        <v>-58003.40999999968</v>
      </c>
      <c r="F36" s="21">
        <f>'[19]Sheet1'!$T$36</f>
        <v>2262576</v>
      </c>
      <c r="G36" s="21">
        <f>C36-F36</f>
        <v>-78216.12000000011</v>
      </c>
      <c r="H36" s="62"/>
      <c r="I36" s="62"/>
    </row>
    <row r="37" spans="2:9" ht="13.5" thickBot="1">
      <c r="B37" s="41"/>
      <c r="C37" s="42"/>
      <c r="D37" s="42"/>
      <c r="E37" s="42"/>
      <c r="F37" s="42"/>
      <c r="G37" s="42"/>
      <c r="H37" s="62"/>
      <c r="I37" s="62"/>
    </row>
    <row r="38" spans="2:9" ht="13.5" thickBot="1">
      <c r="B38" s="32" t="s">
        <v>35</v>
      </c>
      <c r="C38" s="37">
        <f>C34+C36</f>
        <v>2566126.88</v>
      </c>
      <c r="D38" s="37">
        <f>D34+D36</f>
        <v>2550202.47</v>
      </c>
      <c r="E38" s="37">
        <f>E34+E36</f>
        <v>-15924.409999999683</v>
      </c>
      <c r="F38" s="37">
        <f>F34+F36</f>
        <v>2644343</v>
      </c>
      <c r="G38" s="37">
        <f>G34+G36</f>
        <v>-78216.12000000011</v>
      </c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43" t="s">
        <v>79</v>
      </c>
      <c r="C41" s="62"/>
      <c r="D41" s="62"/>
      <c r="E41" s="62"/>
      <c r="F41" s="62"/>
      <c r="G41" s="44">
        <f>F43+F44</f>
        <v>92137.59000000032</v>
      </c>
      <c r="H41" s="62"/>
      <c r="I41" s="62"/>
    </row>
    <row r="42" spans="2:9" ht="12.75">
      <c r="B42" s="45" t="s">
        <v>37</v>
      </c>
      <c r="C42" s="63"/>
      <c r="D42" s="62"/>
      <c r="E42" s="62"/>
      <c r="F42" s="62"/>
      <c r="G42" s="62"/>
      <c r="H42" s="62"/>
      <c r="I42" s="62"/>
    </row>
    <row r="43" spans="2:9" ht="12.75">
      <c r="B43" s="46" t="s">
        <v>58</v>
      </c>
      <c r="C43" s="62"/>
      <c r="D43" s="62"/>
      <c r="E43" s="62"/>
      <c r="F43" s="47">
        <f>(E23+E29)</f>
        <v>108062</v>
      </c>
      <c r="G43" s="62"/>
      <c r="H43" s="62"/>
      <c r="I43" s="62"/>
    </row>
    <row r="44" spans="2:9" ht="12.75">
      <c r="B44" s="46" t="s">
        <v>59</v>
      </c>
      <c r="C44" s="62"/>
      <c r="D44" s="62"/>
      <c r="E44" s="62"/>
      <c r="F44" s="47">
        <f>(E38)</f>
        <v>-15924.409999999683</v>
      </c>
      <c r="G44" s="62"/>
      <c r="H44" s="62"/>
      <c r="I44" s="62"/>
    </row>
    <row r="45" spans="2:9" ht="12.75">
      <c r="B45" s="46"/>
      <c r="C45" s="62"/>
      <c r="D45" s="62"/>
      <c r="E45" s="62"/>
      <c r="F45" s="47"/>
      <c r="G45" s="62"/>
      <c r="H45" s="62"/>
      <c r="I45" s="62"/>
    </row>
    <row r="46" spans="2:9" s="1" customFormat="1" ht="12.75">
      <c r="B46" s="48" t="s">
        <v>134</v>
      </c>
      <c r="C46" s="64"/>
      <c r="D46" s="64"/>
      <c r="E46" s="65"/>
      <c r="F46" s="51"/>
      <c r="G46" s="44">
        <f>F48+F49</f>
        <v>-78216.12000000011</v>
      </c>
      <c r="H46" s="64"/>
      <c r="I46" s="64"/>
    </row>
    <row r="47" spans="2:9" s="1" customFormat="1" ht="12.75">
      <c r="B47" s="45" t="s">
        <v>37</v>
      </c>
      <c r="C47" s="64"/>
      <c r="D47" s="64"/>
      <c r="E47" s="65"/>
      <c r="F47" s="51"/>
      <c r="G47" s="52"/>
      <c r="H47" s="64"/>
      <c r="I47" s="64"/>
    </row>
    <row r="48" spans="2:9" s="1" customFormat="1" ht="12.75">
      <c r="B48" s="46" t="s">
        <v>41</v>
      </c>
      <c r="C48" s="64"/>
      <c r="D48" s="64"/>
      <c r="E48" s="65"/>
      <c r="F48" s="47">
        <f>IF((G23+G29)&lt;=0,G23+G29,0)</f>
        <v>0</v>
      </c>
      <c r="G48" s="52"/>
      <c r="H48" s="64"/>
      <c r="I48" s="64"/>
    </row>
    <row r="49" spans="2:9" s="1" customFormat="1" ht="12.75">
      <c r="B49" s="46" t="s">
        <v>42</v>
      </c>
      <c r="C49" s="64"/>
      <c r="D49" s="64"/>
      <c r="E49" s="65"/>
      <c r="F49" s="47">
        <f>IF(G38&lt;=0,G38,0)</f>
        <v>-78216.12000000011</v>
      </c>
      <c r="G49" s="52"/>
      <c r="H49" s="64"/>
      <c r="I49" s="64"/>
    </row>
    <row r="50" spans="2:9" s="1" customFormat="1" ht="12.75">
      <c r="B50" s="46"/>
      <c r="C50" s="64"/>
      <c r="D50" s="64"/>
      <c r="E50" s="65"/>
      <c r="F50" s="51"/>
      <c r="G50" s="52"/>
      <c r="H50" s="64"/>
      <c r="I50" s="64"/>
    </row>
    <row r="51" spans="2:9" s="1" customFormat="1" ht="12.75">
      <c r="B51" s="48" t="s">
        <v>60</v>
      </c>
      <c r="C51" s="64"/>
      <c r="D51" s="64"/>
      <c r="E51" s="65"/>
      <c r="F51" s="51"/>
      <c r="G51" s="44">
        <f>F53+F54</f>
        <v>268679</v>
      </c>
      <c r="H51" s="64"/>
      <c r="I51" s="64"/>
    </row>
    <row r="52" spans="2:9" ht="12.75">
      <c r="B52" s="45" t="s">
        <v>37</v>
      </c>
      <c r="C52" s="62"/>
      <c r="D52" s="62"/>
      <c r="E52" s="62"/>
      <c r="F52" s="33"/>
      <c r="G52" s="52"/>
      <c r="H52" s="62"/>
      <c r="I52" s="62"/>
    </row>
    <row r="53" spans="2:9" ht="12.75">
      <c r="B53" s="46" t="s">
        <v>41</v>
      </c>
      <c r="C53" s="62"/>
      <c r="D53" s="62"/>
      <c r="E53" s="62"/>
      <c r="F53" s="47">
        <f>IF((G23+G29)&gt;0,G23+G29,0)</f>
        <v>268679</v>
      </c>
      <c r="G53" s="62"/>
      <c r="H53" s="62"/>
      <c r="I53" s="62"/>
    </row>
    <row r="54" spans="2:9" ht="12.75">
      <c r="B54" s="46" t="s">
        <v>42</v>
      </c>
      <c r="C54" s="62"/>
      <c r="D54" s="62"/>
      <c r="E54" s="62"/>
      <c r="F54" s="47">
        <f>IF(G38&gt;0,G38,0)</f>
        <v>0</v>
      </c>
      <c r="G54" s="62"/>
      <c r="H54" s="62"/>
      <c r="I54" s="62"/>
    </row>
    <row r="55" spans="2:9" ht="12.75">
      <c r="B55" s="46"/>
      <c r="C55" s="62"/>
      <c r="D55" s="62"/>
      <c r="E55" s="62"/>
      <c r="F55" s="47"/>
      <c r="G55" s="62"/>
      <c r="H55" s="62"/>
      <c r="I55" s="62"/>
    </row>
    <row r="56" spans="2:9" ht="12.75">
      <c r="B56" s="53" t="s">
        <v>44</v>
      </c>
      <c r="C56" s="11"/>
      <c r="D56" s="11"/>
      <c r="E56" s="11"/>
      <c r="F56" s="33"/>
      <c r="G56" s="11"/>
      <c r="H56" s="11"/>
      <c r="I56" s="11"/>
    </row>
    <row r="57" spans="2:9" ht="12.75">
      <c r="B57" s="33" t="s">
        <v>45</v>
      </c>
      <c r="C57" s="11"/>
      <c r="D57" s="11"/>
      <c r="E57" s="54"/>
      <c r="F57" s="51"/>
      <c r="G57" s="44">
        <f>1627.82+400+700</f>
        <v>2727.8199999999997</v>
      </c>
      <c r="H57" s="11"/>
      <c r="I57" s="11"/>
    </row>
    <row r="58" spans="2:9" ht="12.75">
      <c r="B58" s="10"/>
      <c r="C58" s="11"/>
      <c r="D58" s="11"/>
      <c r="E58" s="11"/>
      <c r="F58" s="11"/>
      <c r="G58" s="11"/>
      <c r="H58" s="11"/>
      <c r="I58" s="11"/>
    </row>
    <row r="59" spans="2:9" ht="12.75">
      <c r="B59" s="46"/>
      <c r="C59" s="11"/>
      <c r="D59" s="11"/>
      <c r="E59" s="11"/>
      <c r="F59" s="47"/>
      <c r="G59" s="11"/>
      <c r="H59" s="11"/>
      <c r="I59" s="11"/>
    </row>
    <row r="60" spans="2:9" ht="15.75">
      <c r="B60" s="55" t="s">
        <v>46</v>
      </c>
      <c r="C60" s="11"/>
      <c r="D60" s="11"/>
      <c r="E60" s="11"/>
      <c r="F60" s="56">
        <f>G46+G51+G57</f>
        <v>193190.6999999999</v>
      </c>
      <c r="G60" s="56" t="s">
        <v>47</v>
      </c>
      <c r="H60" s="11"/>
      <c r="I60" s="11"/>
    </row>
    <row r="61" spans="2:9" ht="12.75">
      <c r="B61" s="57" t="s">
        <v>48</v>
      </c>
      <c r="C61" s="11"/>
      <c r="D61" s="11"/>
      <c r="E61" s="11"/>
      <c r="F61" s="47"/>
      <c r="G61" s="11"/>
      <c r="H61" s="11"/>
      <c r="I61" s="11"/>
    </row>
    <row r="62" spans="2:9" ht="12.75">
      <c r="B62" s="57" t="s">
        <v>49</v>
      </c>
      <c r="C62" s="11"/>
      <c r="D62" s="11"/>
      <c r="E62" s="11"/>
      <c r="F62" s="47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-301796.69-480460.15</f>
        <v>-782256.8400000001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F60+F65</f>
        <v>-589066.1400000001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121"/>
      <c r="C72" s="121"/>
      <c r="D72" s="121"/>
      <c r="E72" s="121"/>
      <c r="F72" s="121"/>
    </row>
    <row r="73" spans="2:6" ht="14.25">
      <c r="B73" s="121"/>
      <c r="C73" s="121"/>
      <c r="D73" s="121"/>
      <c r="E73" s="121"/>
      <c r="F73" s="121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="33" customFormat="1" ht="12.75">
      <c r="C75" s="59" t="s">
        <v>54</v>
      </c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pans="2:6" ht="15">
      <c r="B77" s="60"/>
      <c r="C77" s="121"/>
      <c r="D77" s="121"/>
      <c r="E77" s="121"/>
      <c r="F77" s="121"/>
    </row>
    <row r="78" spans="2:6" ht="14.25">
      <c r="B78" s="121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  <row r="83" spans="2:6" ht="14.25">
      <c r="B83" s="121"/>
      <c r="C83" s="121"/>
      <c r="D83" s="121"/>
      <c r="E83" s="121"/>
      <c r="F83" s="121"/>
    </row>
    <row r="84" spans="2:6" ht="14.25">
      <c r="B84" s="121"/>
      <c r="C84" s="121"/>
      <c r="D84" s="121"/>
      <c r="E84" s="121"/>
      <c r="F84" s="12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3:G13"/>
    <mergeCell ref="B34:B35"/>
    <mergeCell ref="C34:C35"/>
    <mergeCell ref="D34:D35"/>
    <mergeCell ref="E34:E35"/>
    <mergeCell ref="F34:F35"/>
    <mergeCell ref="G34:G35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28">
      <selection activeCell="K34" sqref="K34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138</v>
      </c>
      <c r="E2" s="119"/>
      <c r="F2" s="119"/>
    </row>
    <row r="3" spans="2:6" ht="18.75">
      <c r="B3" s="119"/>
      <c r="D3" s="7" t="s">
        <v>2</v>
      </c>
      <c r="E3" s="119"/>
      <c r="F3" s="119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'[20]Sheet1'!$N$15</f>
        <v>226339</v>
      </c>
      <c r="D10" s="21">
        <f>'[20]Sheet1'!$R$15</f>
        <v>244630</v>
      </c>
      <c r="E10" s="21">
        <f>D10-C10</f>
        <v>18291</v>
      </c>
      <c r="F10" s="21">
        <f>'[20]Sheet1'!$T$15</f>
        <v>226339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226339</v>
      </c>
      <c r="D13" s="27">
        <f>D10</f>
        <v>244630</v>
      </c>
      <c r="E13" s="27">
        <f>E10</f>
        <v>18291</v>
      </c>
      <c r="F13" s="27">
        <f>F10</f>
        <v>226339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'[20]Sheet1'!$N$18</f>
        <v>98332</v>
      </c>
      <c r="D16" s="31">
        <f>'[20]Sheet1'!$R$18</f>
        <v>106278</v>
      </c>
      <c r="E16" s="31">
        <f aca="true" t="shared" si="0" ref="E16:E22">D16-C16</f>
        <v>7946</v>
      </c>
      <c r="F16" s="31">
        <f>'[20]Sheet1'!$T$18</f>
        <v>98332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'[20]Sheet1'!$N$19</f>
        <v>8488</v>
      </c>
      <c r="D17" s="31">
        <f>'[20]Sheet1'!$R$19</f>
        <v>9174</v>
      </c>
      <c r="E17" s="31">
        <f t="shared" si="0"/>
        <v>686</v>
      </c>
      <c r="F17" s="31">
        <f>'[20]Sheet1'!$T$19</f>
        <v>8488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'[20]Sheet1'!$N$20</f>
        <v>18936</v>
      </c>
      <c r="D18" s="31">
        <f>'[20]Sheet1'!$R$20</f>
        <v>20466</v>
      </c>
      <c r="E18" s="31">
        <f t="shared" si="0"/>
        <v>1530</v>
      </c>
      <c r="F18" s="31">
        <f>'[20]Sheet1'!$T$20</f>
        <v>18936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'[20]Sheet1'!$N$26</f>
        <v>172668</v>
      </c>
      <c r="D21" s="31">
        <f>'[20]Sheet1'!$R$26</f>
        <v>186622</v>
      </c>
      <c r="E21" s="31">
        <f t="shared" si="0"/>
        <v>13954</v>
      </c>
      <c r="F21" s="31">
        <f>'[20]Sheet1'!$T$26</f>
        <v>172668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'[20]Sheet1'!$N$41+'[20]Sheet1'!$N$42</f>
        <v>30882</v>
      </c>
      <c r="D22" s="31">
        <f>'[20]Sheet1'!$R$41+'[20]Sheet1'!$R$42</f>
        <v>33378</v>
      </c>
      <c r="E22" s="31">
        <f t="shared" si="0"/>
        <v>2496</v>
      </c>
      <c r="F22" s="31">
        <f>'[20]Sheet1'!$T$41+'[20]Sheet1'!$T$42</f>
        <v>30882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329306</v>
      </c>
      <c r="D23" s="27">
        <f>SUM(D15:D22)</f>
        <v>355918</v>
      </c>
      <c r="E23" s="27">
        <f>SUM(E15:E22)</f>
        <v>26612</v>
      </c>
      <c r="F23" s="27">
        <f>SUM(F15:F22)</f>
        <v>329306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555645</v>
      </c>
      <c r="D24" s="27">
        <f>D13+D23</f>
        <v>600548</v>
      </c>
      <c r="E24" s="27">
        <f>E13+E23</f>
        <v>44903</v>
      </c>
      <c r="F24" s="27">
        <f>F13+F23</f>
        <v>555645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2.75">
      <c r="B26" s="33"/>
      <c r="C26" s="62"/>
      <c r="D26" s="62"/>
      <c r="E26" s="62"/>
      <c r="F26" s="62"/>
      <c r="G26" s="62"/>
      <c r="H26" s="62"/>
      <c r="I26" s="62"/>
    </row>
    <row r="27" spans="2:9" ht="13.5" thickBot="1">
      <c r="B27" s="10" t="s">
        <v>24</v>
      </c>
      <c r="C27" s="62"/>
      <c r="D27" s="62"/>
      <c r="E27" s="62"/>
      <c r="F27" s="62"/>
      <c r="G27" s="62"/>
      <c r="H27" s="62"/>
      <c r="I27" s="62"/>
    </row>
    <row r="28" spans="2:9" ht="105" customHeight="1" thickBot="1">
      <c r="B28" s="34" t="s">
        <v>4</v>
      </c>
      <c r="C28" s="34" t="s">
        <v>5</v>
      </c>
      <c r="D28" s="35" t="s">
        <v>25</v>
      </c>
      <c r="E28" s="35" t="s">
        <v>7</v>
      </c>
      <c r="F28" s="34" t="s">
        <v>26</v>
      </c>
      <c r="G28" s="34" t="s">
        <v>9</v>
      </c>
      <c r="H28" s="62"/>
      <c r="I28" s="62"/>
    </row>
    <row r="29" spans="2:9" ht="13.5" customHeight="1" thickBot="1">
      <c r="B29" s="14">
        <v>1</v>
      </c>
      <c r="C29" s="15">
        <v>2</v>
      </c>
      <c r="D29" s="15">
        <v>3</v>
      </c>
      <c r="E29" s="15" t="s">
        <v>10</v>
      </c>
      <c r="F29" s="15">
        <v>5</v>
      </c>
      <c r="G29" s="16" t="s">
        <v>11</v>
      </c>
      <c r="H29" s="62"/>
      <c r="I29" s="62"/>
    </row>
    <row r="30" spans="2:9" ht="38.25" customHeight="1" thickBot="1">
      <c r="B30" s="24" t="s">
        <v>27</v>
      </c>
      <c r="C30" s="36">
        <f>'[20]Sheet1'!$N$12</f>
        <v>442292</v>
      </c>
      <c r="D30" s="36">
        <f>'[20]Sheet1'!$R$12</f>
        <v>478034</v>
      </c>
      <c r="E30" s="36">
        <f>D30-C30</f>
        <v>35742</v>
      </c>
      <c r="F30" s="36">
        <v>144124</v>
      </c>
      <c r="G30" s="36">
        <f>C30-F30</f>
        <v>298168</v>
      </c>
      <c r="H30" s="63"/>
      <c r="I30" s="62"/>
    </row>
    <row r="31" spans="2:9" ht="13.5" thickBot="1">
      <c r="B31" s="26" t="s">
        <v>28</v>
      </c>
      <c r="C31" s="37">
        <f>C30</f>
        <v>442292</v>
      </c>
      <c r="D31" s="37">
        <f>D30</f>
        <v>478034</v>
      </c>
      <c r="E31" s="37">
        <f>E30</f>
        <v>35742</v>
      </c>
      <c r="F31" s="37">
        <f>F30</f>
        <v>144124</v>
      </c>
      <c r="G31" s="37">
        <f>G30</f>
        <v>298168</v>
      </c>
      <c r="H31" s="62"/>
      <c r="I31" s="62"/>
    </row>
    <row r="32" spans="2:9" ht="12.75">
      <c r="B32" s="38"/>
      <c r="C32" s="62"/>
      <c r="D32" s="62"/>
      <c r="E32" s="62"/>
      <c r="F32" s="62"/>
      <c r="G32" s="62"/>
      <c r="H32" s="62"/>
      <c r="I32" s="62"/>
    </row>
    <row r="33" spans="2:9" ht="13.5" thickBot="1">
      <c r="B33" s="10" t="s">
        <v>29</v>
      </c>
      <c r="C33" s="62"/>
      <c r="D33" s="62"/>
      <c r="E33" s="62"/>
      <c r="F33" s="62"/>
      <c r="G33" s="62"/>
      <c r="H33" s="62"/>
      <c r="I33" s="62"/>
    </row>
    <row r="34" spans="2:9" ht="103.5" customHeight="1" thickBot="1">
      <c r="B34" s="34" t="s">
        <v>4</v>
      </c>
      <c r="C34" s="13" t="s">
        <v>30</v>
      </c>
      <c r="D34" s="39" t="s">
        <v>31</v>
      </c>
      <c r="E34" s="35" t="s">
        <v>7</v>
      </c>
      <c r="F34" s="13" t="s">
        <v>32</v>
      </c>
      <c r="G34" s="34" t="s">
        <v>9</v>
      </c>
      <c r="H34" s="62"/>
      <c r="I34" s="62"/>
    </row>
    <row r="35" spans="2:9" ht="13.5" customHeight="1" thickBot="1">
      <c r="B35" s="14">
        <v>1</v>
      </c>
      <c r="C35" s="15">
        <v>2</v>
      </c>
      <c r="D35" s="15">
        <v>3</v>
      </c>
      <c r="E35" s="15" t="s">
        <v>10</v>
      </c>
      <c r="F35" s="15">
        <v>5</v>
      </c>
      <c r="G35" s="16" t="s">
        <v>11</v>
      </c>
      <c r="H35" s="62"/>
      <c r="I35" s="62"/>
    </row>
    <row r="36" spans="2:9" ht="16.5" customHeight="1">
      <c r="B36" s="40" t="s">
        <v>33</v>
      </c>
      <c r="C36" s="21">
        <f>'[20]Sheet1'!$N$33</f>
        <v>400866</v>
      </c>
      <c r="D36" s="21">
        <f>'[20]Sheet1'!$R$33</f>
        <v>433261</v>
      </c>
      <c r="E36" s="21">
        <f>D36-C36</f>
        <v>32395</v>
      </c>
      <c r="F36" s="21">
        <f>C36</f>
        <v>400866</v>
      </c>
      <c r="G36" s="21">
        <f>C36-F36</f>
        <v>0</v>
      </c>
      <c r="H36" s="62"/>
      <c r="I36" s="62"/>
    </row>
    <row r="37" spans="2:9" ht="24" customHeight="1" thickBot="1">
      <c r="B37" s="41"/>
      <c r="C37" s="42"/>
      <c r="D37" s="42"/>
      <c r="E37" s="42"/>
      <c r="F37" s="42"/>
      <c r="G37" s="42"/>
      <c r="H37" s="62"/>
      <c r="I37" s="62"/>
    </row>
    <row r="38" spans="2:9" ht="17.25" customHeight="1">
      <c r="B38" s="40" t="s">
        <v>34</v>
      </c>
      <c r="C38" s="21">
        <f>2203133.76</f>
        <v>2203133.76</v>
      </c>
      <c r="D38" s="21">
        <f>1974886.42+192203.81</f>
        <v>2167090.23</v>
      </c>
      <c r="E38" s="21">
        <f>D38-C38</f>
        <v>-36043.529999999795</v>
      </c>
      <c r="F38" s="21">
        <f>'[20]Sheet1'!$T$36</f>
        <v>2315931</v>
      </c>
      <c r="G38" s="21">
        <f>C38-F38</f>
        <v>-112797.24000000022</v>
      </c>
      <c r="H38" s="62"/>
      <c r="I38" s="62"/>
    </row>
    <row r="39" spans="2:9" ht="13.5" thickBot="1">
      <c r="B39" s="41"/>
      <c r="C39" s="42"/>
      <c r="D39" s="42"/>
      <c r="E39" s="42"/>
      <c r="F39" s="42"/>
      <c r="G39" s="42"/>
      <c r="H39" s="62"/>
      <c r="I39" s="62"/>
    </row>
    <row r="40" spans="2:9" ht="13.5" thickBot="1">
      <c r="B40" s="32" t="s">
        <v>35</v>
      </c>
      <c r="C40" s="37">
        <f>C36+C38</f>
        <v>2603999.76</v>
      </c>
      <c r="D40" s="37">
        <f>D36+D38</f>
        <v>2600351.23</v>
      </c>
      <c r="E40" s="37">
        <f>E36+E38</f>
        <v>-3648.529999999795</v>
      </c>
      <c r="F40" s="37">
        <f>F36+F38</f>
        <v>2716797</v>
      </c>
      <c r="G40" s="37">
        <f>G36+G38</f>
        <v>-112797.24000000022</v>
      </c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33"/>
      <c r="C42" s="62"/>
      <c r="D42" s="62"/>
      <c r="E42" s="62"/>
      <c r="F42" s="62"/>
      <c r="G42" s="62"/>
      <c r="H42" s="62"/>
      <c r="I42" s="62"/>
    </row>
    <row r="43" spans="2:9" ht="12.75">
      <c r="B43" s="43" t="s">
        <v>36</v>
      </c>
      <c r="C43" s="62"/>
      <c r="D43" s="62"/>
      <c r="E43" s="62"/>
      <c r="F43" s="62"/>
      <c r="G43" s="44">
        <f>F45+F46</f>
        <v>76996.4700000002</v>
      </c>
      <c r="H43" s="62"/>
      <c r="I43" s="62"/>
    </row>
    <row r="44" spans="2:9" ht="12.75">
      <c r="B44" s="45" t="s">
        <v>37</v>
      </c>
      <c r="C44" s="63"/>
      <c r="D44" s="62"/>
      <c r="E44" s="62"/>
      <c r="F44" s="62"/>
      <c r="G44" s="62"/>
      <c r="H44" s="62"/>
      <c r="I44" s="62"/>
    </row>
    <row r="45" spans="2:9" ht="12.75">
      <c r="B45" s="46" t="s">
        <v>58</v>
      </c>
      <c r="C45" s="62"/>
      <c r="D45" s="62"/>
      <c r="E45" s="62"/>
      <c r="F45" s="47">
        <f>(E24+E31)</f>
        <v>80645</v>
      </c>
      <c r="G45" s="62"/>
      <c r="H45" s="62"/>
      <c r="I45" s="62"/>
    </row>
    <row r="46" spans="2:9" ht="15" customHeight="1">
      <c r="B46" s="46" t="s">
        <v>59</v>
      </c>
      <c r="C46" s="62"/>
      <c r="D46" s="62"/>
      <c r="E46" s="62"/>
      <c r="F46" s="47">
        <f>(E40)</f>
        <v>-3648.529999999795</v>
      </c>
      <c r="G46" s="62"/>
      <c r="H46" s="62"/>
      <c r="I46" s="62"/>
    </row>
    <row r="47" spans="2:9" ht="12.75">
      <c r="B47" s="46"/>
      <c r="C47" s="62"/>
      <c r="D47" s="62"/>
      <c r="E47" s="62"/>
      <c r="F47" s="47"/>
      <c r="G47" s="62"/>
      <c r="H47" s="62"/>
      <c r="I47" s="62"/>
    </row>
    <row r="48" spans="2:9" s="1" customFormat="1" ht="12.75">
      <c r="B48" s="48" t="s">
        <v>134</v>
      </c>
      <c r="C48" s="64"/>
      <c r="D48" s="64"/>
      <c r="E48" s="65"/>
      <c r="F48" s="51"/>
      <c r="G48" s="44">
        <f>F50+F51</f>
        <v>-112797.24000000022</v>
      </c>
      <c r="H48" s="64"/>
      <c r="I48" s="64"/>
    </row>
    <row r="49" spans="2:9" s="1" customFormat="1" ht="12.75">
      <c r="B49" s="45" t="s">
        <v>37</v>
      </c>
      <c r="C49" s="64"/>
      <c r="D49" s="64"/>
      <c r="E49" s="65"/>
      <c r="F49" s="51"/>
      <c r="G49" s="52"/>
      <c r="H49" s="64"/>
      <c r="I49" s="64"/>
    </row>
    <row r="50" spans="2:9" s="1" customFormat="1" ht="12.75">
      <c r="B50" s="46" t="s">
        <v>41</v>
      </c>
      <c r="C50" s="64"/>
      <c r="D50" s="64"/>
      <c r="E50" s="65"/>
      <c r="F50" s="47">
        <f>IF((G24+G31)&lt;=0,G24+G31,0)</f>
        <v>0</v>
      </c>
      <c r="G50" s="52"/>
      <c r="H50" s="64"/>
      <c r="I50" s="64"/>
    </row>
    <row r="51" spans="2:9" s="1" customFormat="1" ht="12.75">
      <c r="B51" s="46" t="s">
        <v>42</v>
      </c>
      <c r="C51" s="64"/>
      <c r="D51" s="64"/>
      <c r="E51" s="65"/>
      <c r="F51" s="47">
        <f>IF(G40&lt;=0,G40,0)</f>
        <v>-112797.24000000022</v>
      </c>
      <c r="G51" s="52"/>
      <c r="H51" s="64"/>
      <c r="I51" s="64"/>
    </row>
    <row r="52" spans="2:9" s="1" customFormat="1" ht="12.75">
      <c r="B52" s="46"/>
      <c r="C52" s="64"/>
      <c r="D52" s="64"/>
      <c r="E52" s="65"/>
      <c r="F52" s="51"/>
      <c r="G52" s="52"/>
      <c r="H52" s="64"/>
      <c r="I52" s="64"/>
    </row>
    <row r="53" spans="2:9" s="1" customFormat="1" ht="12.75">
      <c r="B53" s="48" t="s">
        <v>60</v>
      </c>
      <c r="C53" s="64"/>
      <c r="D53" s="64"/>
      <c r="E53" s="65"/>
      <c r="F53" s="51"/>
      <c r="G53" s="44">
        <f>F55+F56</f>
        <v>298168</v>
      </c>
      <c r="H53" s="64"/>
      <c r="I53" s="64"/>
    </row>
    <row r="54" spans="2:9" ht="12.75">
      <c r="B54" s="45" t="s">
        <v>37</v>
      </c>
      <c r="C54" s="62"/>
      <c r="D54" s="62"/>
      <c r="E54" s="62"/>
      <c r="F54" s="33"/>
      <c r="G54" s="52"/>
      <c r="H54" s="62"/>
      <c r="I54" s="62"/>
    </row>
    <row r="55" spans="2:9" ht="12.75">
      <c r="B55" s="46" t="s">
        <v>41</v>
      </c>
      <c r="C55" s="62"/>
      <c r="D55" s="62"/>
      <c r="E55" s="62"/>
      <c r="F55" s="47">
        <f>IF((G24+G31)&gt;0,G24+G31,0)</f>
        <v>298168</v>
      </c>
      <c r="G55" s="62"/>
      <c r="H55" s="62"/>
      <c r="I55" s="62"/>
    </row>
    <row r="56" spans="2:9" ht="12.75">
      <c r="B56" s="46" t="s">
        <v>42</v>
      </c>
      <c r="C56" s="62"/>
      <c r="D56" s="62"/>
      <c r="E56" s="62"/>
      <c r="F56" s="47">
        <f>IF(G40&gt;0,G40,0)</f>
        <v>0</v>
      </c>
      <c r="G56" s="62"/>
      <c r="H56" s="62"/>
      <c r="I56" s="62"/>
    </row>
    <row r="57" spans="2:9" ht="12.75">
      <c r="B57" s="46"/>
      <c r="C57" s="62"/>
      <c r="D57" s="62"/>
      <c r="E57" s="62"/>
      <c r="F57" s="47"/>
      <c r="G57" s="62"/>
      <c r="H57" s="62"/>
      <c r="I57" s="62"/>
    </row>
    <row r="58" spans="2:9" ht="12.75">
      <c r="B58" s="53" t="s">
        <v>44</v>
      </c>
      <c r="C58" s="11"/>
      <c r="D58" s="11"/>
      <c r="E58" s="11"/>
      <c r="F58" s="33"/>
      <c r="G58" s="11"/>
      <c r="H58" s="11"/>
      <c r="I58" s="11"/>
    </row>
    <row r="59" spans="2:9" ht="12.75">
      <c r="B59" s="33" t="s">
        <v>45</v>
      </c>
      <c r="C59" s="11"/>
      <c r="D59" s="11"/>
      <c r="E59" s="54"/>
      <c r="F59" s="51"/>
      <c r="G59" s="44">
        <f>1627.82+400+700</f>
        <v>2727.8199999999997</v>
      </c>
      <c r="H59" s="11"/>
      <c r="I59" s="11"/>
    </row>
    <row r="60" spans="2:9" ht="12.75">
      <c r="B60" s="10"/>
      <c r="C60" s="11"/>
      <c r="D60" s="11"/>
      <c r="E60" s="11"/>
      <c r="F60" s="11"/>
      <c r="G60" s="11"/>
      <c r="H60" s="11"/>
      <c r="I60" s="11"/>
    </row>
    <row r="61" spans="2:9" ht="12.75">
      <c r="B61" s="46"/>
      <c r="C61" s="11"/>
      <c r="D61" s="11"/>
      <c r="E61" s="11"/>
      <c r="F61" s="47"/>
      <c r="G61" s="11"/>
      <c r="H61" s="11"/>
      <c r="I61" s="11"/>
    </row>
    <row r="62" spans="2:9" ht="15.75">
      <c r="B62" s="55" t="s">
        <v>46</v>
      </c>
      <c r="C62" s="11"/>
      <c r="D62" s="11"/>
      <c r="E62" s="11"/>
      <c r="F62" s="56">
        <f>G48+G53+G59</f>
        <v>188098.57999999978</v>
      </c>
      <c r="G62" s="56" t="s">
        <v>47</v>
      </c>
      <c r="H62" s="11"/>
      <c r="I62" s="11"/>
    </row>
    <row r="63" spans="2:9" ht="12.75">
      <c r="B63" s="57" t="s">
        <v>48</v>
      </c>
      <c r="C63" s="11"/>
      <c r="D63" s="11"/>
      <c r="E63" s="11"/>
      <c r="F63" s="47"/>
      <c r="G63" s="11"/>
      <c r="H63" s="11"/>
      <c r="I63" s="11"/>
    </row>
    <row r="64" spans="2:9" ht="12.75">
      <c r="B64" s="57" t="s">
        <v>49</v>
      </c>
      <c r="C64" s="11"/>
      <c r="D64" s="11"/>
      <c r="E64" s="11"/>
      <c r="F64" s="47"/>
      <c r="G64" s="11"/>
      <c r="H64" s="11"/>
      <c r="I64" s="11"/>
    </row>
    <row r="65" spans="2:9" ht="12.75">
      <c r="B65" s="46"/>
      <c r="C65" s="11"/>
      <c r="D65" s="11"/>
      <c r="E65" s="11"/>
      <c r="F65" s="47"/>
      <c r="G65" s="11"/>
      <c r="H65" s="11"/>
      <c r="I65" s="11"/>
    </row>
    <row r="66" spans="2:9" ht="15.75">
      <c r="B66" s="55" t="s">
        <v>50</v>
      </c>
      <c r="C66" s="11"/>
      <c r="D66" s="11"/>
      <c r="E66" s="11"/>
      <c r="F66" s="56">
        <f>-268343.54-277557.46</f>
        <v>-545901</v>
      </c>
      <c r="G66" s="56" t="s">
        <v>47</v>
      </c>
      <c r="H66" s="11"/>
      <c r="I66" s="11"/>
    </row>
    <row r="67" spans="2:9" ht="12.75">
      <c r="B67" s="57" t="s">
        <v>51</v>
      </c>
      <c r="C67" s="11"/>
      <c r="D67" s="11"/>
      <c r="E67" s="11"/>
      <c r="F67" s="47"/>
      <c r="G67" s="11"/>
      <c r="H67" s="11"/>
      <c r="I67" s="11"/>
    </row>
    <row r="68" spans="2:9" ht="12.75">
      <c r="B68" s="57" t="s">
        <v>52</v>
      </c>
      <c r="C68" s="11"/>
      <c r="D68" s="11"/>
      <c r="E68" s="11"/>
      <c r="F68" s="47"/>
      <c r="G68" s="11"/>
      <c r="H68" s="11"/>
      <c r="I68" s="11"/>
    </row>
    <row r="69" spans="2:9" ht="12.75">
      <c r="B69" s="33"/>
      <c r="C69" s="62"/>
      <c r="D69" s="62"/>
      <c r="E69" s="62"/>
      <c r="F69" s="62"/>
      <c r="G69" s="62"/>
      <c r="H69" s="62"/>
      <c r="I69" s="62"/>
    </row>
    <row r="70" spans="1:9" ht="15.75">
      <c r="A70" s="11"/>
      <c r="B70" s="58" t="s">
        <v>53</v>
      </c>
      <c r="C70" s="58"/>
      <c r="D70" s="58"/>
      <c r="E70" s="11"/>
      <c r="F70" s="56">
        <f>F62+F66</f>
        <v>-357802.4200000002</v>
      </c>
      <c r="G70" s="56" t="s">
        <v>47</v>
      </c>
      <c r="H70" s="11"/>
      <c r="I70" s="11"/>
    </row>
    <row r="71" spans="1:9" ht="12.75">
      <c r="A71" s="11"/>
      <c r="B71" s="38" t="s">
        <v>48</v>
      </c>
      <c r="C71" s="38"/>
      <c r="D71" s="11"/>
      <c r="E71" s="11"/>
      <c r="F71" s="47"/>
      <c r="G71" s="11"/>
      <c r="H71" s="11"/>
      <c r="I71" s="11"/>
    </row>
    <row r="72" spans="1:9" ht="12.75">
      <c r="A72" s="11"/>
      <c r="B72" s="38" t="s">
        <v>49</v>
      </c>
      <c r="C72" s="11"/>
      <c r="D72" s="11"/>
      <c r="E72" s="11"/>
      <c r="F72" s="47"/>
      <c r="G72" s="11"/>
      <c r="H72" s="11"/>
      <c r="I72" s="11"/>
    </row>
    <row r="73" spans="2:6" ht="14.25">
      <c r="B73" s="121"/>
      <c r="C73" s="121"/>
      <c r="D73" s="121"/>
      <c r="E73" s="121"/>
      <c r="F73" s="121"/>
    </row>
    <row r="74" spans="2:6" ht="14.25">
      <c r="B74" s="121"/>
      <c r="C74" s="121"/>
      <c r="D74" s="121"/>
      <c r="E74" s="121"/>
      <c r="F74" s="121"/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="33" customFormat="1" ht="12.75">
      <c r="C76" s="59" t="s">
        <v>54</v>
      </c>
    </row>
    <row r="77" spans="2:9" ht="12.75">
      <c r="B77" s="33"/>
      <c r="C77" s="62"/>
      <c r="D77" s="62"/>
      <c r="E77" s="62"/>
      <c r="F77" s="62"/>
      <c r="G77" s="62"/>
      <c r="H77" s="62"/>
      <c r="I77" s="62"/>
    </row>
    <row r="78" spans="2:6" ht="15">
      <c r="B78" s="60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  <row r="83" spans="2:6" ht="14.25">
      <c r="B83" s="121"/>
      <c r="C83" s="121"/>
      <c r="D83" s="121"/>
      <c r="E83" s="121"/>
      <c r="F83" s="121"/>
    </row>
    <row r="84" spans="2:6" ht="14.25">
      <c r="B84" s="121"/>
      <c r="C84" s="121"/>
      <c r="D84" s="121"/>
      <c r="E84" s="121"/>
      <c r="F84" s="121"/>
    </row>
    <row r="85" spans="2:6" ht="14.25">
      <c r="B85" s="121"/>
      <c r="C85" s="121"/>
      <c r="D85" s="121"/>
      <c r="E85" s="121"/>
      <c r="F85" s="121"/>
    </row>
  </sheetData>
  <sheetProtection/>
  <mergeCells count="19">
    <mergeCell ref="B38:B39"/>
    <mergeCell ref="C38:C39"/>
    <mergeCell ref="D38:D39"/>
    <mergeCell ref="E38:E39"/>
    <mergeCell ref="F38:F39"/>
    <mergeCell ref="G38:G39"/>
    <mergeCell ref="B14:G14"/>
    <mergeCell ref="B36:B37"/>
    <mergeCell ref="C36:C37"/>
    <mergeCell ref="D36:D37"/>
    <mergeCell ref="E36:E37"/>
    <mergeCell ref="F36:F37"/>
    <mergeCell ref="G36:G37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55">
      <selection activeCell="F66" sqref="F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139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'[21]Sheet1'!$N$15</f>
        <v>240869</v>
      </c>
      <c r="D10" s="21">
        <f>'[21]Sheet1'!$R$15</f>
        <v>259092</v>
      </c>
      <c r="E10" s="21">
        <f>D10-C10</f>
        <v>18223</v>
      </c>
      <c r="F10" s="21">
        <f>'[21]Sheet1'!$T$15</f>
        <v>240869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240869</v>
      </c>
      <c r="D13" s="27">
        <f>D10</f>
        <v>259092</v>
      </c>
      <c r="E13" s="27">
        <f>E10</f>
        <v>18223</v>
      </c>
      <c r="F13" s="27">
        <f>F10</f>
        <v>240869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'[21]Sheet1'!$N$18</f>
        <v>92046</v>
      </c>
      <c r="D16" s="31">
        <f>'[21]Sheet1'!$R$18</f>
        <v>99009</v>
      </c>
      <c r="E16" s="31">
        <f aca="true" t="shared" si="0" ref="E16:E22">D16-C16</f>
        <v>6963</v>
      </c>
      <c r="F16" s="31">
        <f>'[21]Sheet1'!$T$18</f>
        <v>92046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'[21]Sheet1'!$N$19</f>
        <v>7939</v>
      </c>
      <c r="D17" s="31">
        <f>'[21]Sheet1'!$R$19</f>
        <v>8539</v>
      </c>
      <c r="E17" s="31">
        <f t="shared" si="0"/>
        <v>600</v>
      </c>
      <c r="F17" s="31">
        <f>'[21]Sheet1'!$T$19</f>
        <v>7939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'[21]Sheet1'!$N$20</f>
        <v>17813</v>
      </c>
      <c r="D18" s="31">
        <f>'[21]Sheet1'!$R$20</f>
        <v>19161</v>
      </c>
      <c r="E18" s="31">
        <f t="shared" si="0"/>
        <v>1348</v>
      </c>
      <c r="F18" s="31">
        <f>'[21]Sheet1'!$T$20</f>
        <v>17813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'[21]Sheet1'!$N$26</f>
        <v>162296</v>
      </c>
      <c r="D21" s="31">
        <f>'[21]Sheet1'!$R$26</f>
        <v>174575</v>
      </c>
      <c r="E21" s="31">
        <f t="shared" si="0"/>
        <v>12279</v>
      </c>
      <c r="F21" s="31">
        <f>'[21]Sheet1'!$T$26</f>
        <v>162296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'[21]Sheet1'!$N$41+'[21]Sheet1'!$N$42</f>
        <v>28849</v>
      </c>
      <c r="D22" s="31">
        <f>'[21]Sheet1'!$R$41+'[21]Sheet1'!$R$42</f>
        <v>31032</v>
      </c>
      <c r="E22" s="31">
        <f t="shared" si="0"/>
        <v>2183</v>
      </c>
      <c r="F22" s="31">
        <f>'[21]Sheet1'!$T$41+'[21]Sheet1'!$T$42</f>
        <v>28849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308943</v>
      </c>
      <c r="D23" s="27">
        <f>SUM(D15:D22)</f>
        <v>332316</v>
      </c>
      <c r="E23" s="27">
        <f>SUM(E15:E22)</f>
        <v>23373</v>
      </c>
      <c r="F23" s="27">
        <f>SUM(F15:F22)</f>
        <v>308943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549812</v>
      </c>
      <c r="D24" s="27">
        <f>D13+D23</f>
        <v>591408</v>
      </c>
      <c r="E24" s="27">
        <f>E13+E23</f>
        <v>41596</v>
      </c>
      <c r="F24" s="27">
        <f>F13+F23</f>
        <v>549812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'[21]Sheet1'!$N$12</f>
        <v>431528</v>
      </c>
      <c r="D29" s="36">
        <f>'[21]Sheet1'!$R$12</f>
        <v>464176</v>
      </c>
      <c r="E29" s="36">
        <f>D29-C29</f>
        <v>32648</v>
      </c>
      <c r="F29" s="36">
        <f>'[21]Sheet1'!$U$12</f>
        <v>108501</v>
      </c>
      <c r="G29" s="36">
        <f>C29-F29</f>
        <v>323027</v>
      </c>
      <c r="H29" s="63"/>
      <c r="I29" s="62"/>
    </row>
    <row r="30" spans="2:9" ht="13.5" thickBot="1">
      <c r="B30" s="26" t="s">
        <v>28</v>
      </c>
      <c r="C30" s="37">
        <f>C29</f>
        <v>431528</v>
      </c>
      <c r="D30" s="37">
        <f>D29</f>
        <v>464176</v>
      </c>
      <c r="E30" s="37">
        <f>E29</f>
        <v>32648</v>
      </c>
      <c r="F30" s="37">
        <f>F29</f>
        <v>108501</v>
      </c>
      <c r="G30" s="37">
        <f>G29</f>
        <v>323027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'[21]Sheet1'!$N$33</f>
        <v>387288</v>
      </c>
      <c r="D35" s="21">
        <f>'[21]Sheet1'!$R$33</f>
        <v>416588</v>
      </c>
      <c r="E35" s="21">
        <f>D35-C35</f>
        <v>29300</v>
      </c>
      <c r="F35" s="21">
        <f>C35</f>
        <v>387288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2150485.38</f>
        <v>2150485.38</v>
      </c>
      <c r="D37" s="21">
        <f>1972644.27+70978.89</f>
        <v>2043623.16</v>
      </c>
      <c r="E37" s="21">
        <f>D37-C37</f>
        <v>-106862.21999999997</v>
      </c>
      <c r="F37" s="21">
        <f>'[21]Sheet1'!$T$36</f>
        <v>2207756</v>
      </c>
      <c r="G37" s="21">
        <f>C37-F37</f>
        <v>-57270.62000000011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2537773.38</v>
      </c>
      <c r="D39" s="37">
        <f>D35+D37</f>
        <v>2460211.16</v>
      </c>
      <c r="E39" s="37">
        <f>E35+E37</f>
        <v>-77562.21999999997</v>
      </c>
      <c r="F39" s="37">
        <f>F35+F37</f>
        <v>2595044</v>
      </c>
      <c r="G39" s="37">
        <f>G35+G37</f>
        <v>-57270.62000000011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-3318.219999999972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74244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-77562.21999999997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-57270.62000000011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-57270.62000000011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323027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323027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125</v>
      </c>
      <c r="C61" s="11"/>
      <c r="D61" s="11"/>
      <c r="E61" s="11"/>
      <c r="F61" s="56">
        <f>G47+G52+G58</f>
        <v>268484.1999999999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-339254.98-319995.28</f>
        <v>-659250.26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6" ht="14.25">
      <c r="B68" s="61"/>
      <c r="C68" s="61"/>
      <c r="D68" s="61"/>
      <c r="E68" s="61"/>
      <c r="F68" s="61"/>
    </row>
    <row r="69" spans="1:9" ht="15.75">
      <c r="A69" s="11"/>
      <c r="B69" s="58" t="s">
        <v>53</v>
      </c>
      <c r="C69" s="58"/>
      <c r="D69" s="58"/>
      <c r="E69" s="11"/>
      <c r="F69" s="56">
        <f>F61+F65</f>
        <v>-390766.0600000001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9" ht="12.75">
      <c r="B72" s="33"/>
      <c r="C72" s="62"/>
      <c r="D72" s="62"/>
      <c r="E72" s="62"/>
      <c r="F72" s="62"/>
      <c r="G72" s="62"/>
      <c r="H72" s="62"/>
      <c r="I72" s="62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7">
      <selection activeCell="J33" sqref="J33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140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'[22]Sheet1'!$N$15</f>
        <v>240146</v>
      </c>
      <c r="D10" s="21">
        <f>'[22]Sheet1'!$R$15</f>
        <v>252370</v>
      </c>
      <c r="E10" s="21">
        <f>D10-C10</f>
        <v>12224</v>
      </c>
      <c r="F10" s="21">
        <f>'[22]Sheet1'!$T$15</f>
        <v>240146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240146</v>
      </c>
      <c r="D13" s="27">
        <f>D10</f>
        <v>252370</v>
      </c>
      <c r="E13" s="27">
        <f>E10</f>
        <v>12224</v>
      </c>
      <c r="F13" s="27">
        <f>F10</f>
        <v>240146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'[22]Sheet1'!$N$18</f>
        <v>99499</v>
      </c>
      <c r="D16" s="31">
        <f>'[22]Sheet1'!$R$18</f>
        <v>104563</v>
      </c>
      <c r="E16" s="31">
        <f aca="true" t="shared" si="0" ref="E16:E22">D16-C16</f>
        <v>5064</v>
      </c>
      <c r="F16" s="31">
        <f>'[22]Sheet1'!$T$18</f>
        <v>99499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'[22]Sheet1'!$N$19</f>
        <v>8582</v>
      </c>
      <c r="D17" s="31">
        <f>'[22]Sheet1'!$R$19</f>
        <v>9019</v>
      </c>
      <c r="E17" s="31">
        <f t="shared" si="0"/>
        <v>437</v>
      </c>
      <c r="F17" s="31">
        <f>'[22]Sheet1'!$T$19</f>
        <v>8582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'[22]Sheet1'!$N$20</f>
        <v>19239</v>
      </c>
      <c r="D18" s="31">
        <f>'[22]Sheet1'!$R$20</f>
        <v>20218</v>
      </c>
      <c r="E18" s="31">
        <f t="shared" si="0"/>
        <v>979</v>
      </c>
      <c r="F18" s="31">
        <f>'[22]Sheet1'!$T$20</f>
        <v>19239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'[22]Sheet1'!$N$26</f>
        <v>175311</v>
      </c>
      <c r="D21" s="31">
        <f>'[22]Sheet1'!$R$26</f>
        <v>184234</v>
      </c>
      <c r="E21" s="31">
        <f t="shared" si="0"/>
        <v>8923</v>
      </c>
      <c r="F21" s="31">
        <f>'[22]Sheet1'!$T$26</f>
        <v>175311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'[22]Sheet1'!$N$41+'[22]Sheet1'!$N$42</f>
        <v>31197</v>
      </c>
      <c r="D22" s="31">
        <f>'[22]Sheet1'!$R$41+'[22]Sheet1'!$R$42</f>
        <v>32785</v>
      </c>
      <c r="E22" s="31">
        <f t="shared" si="0"/>
        <v>1588</v>
      </c>
      <c r="F22" s="31">
        <f>'[22]Sheet1'!$T$41+'[22]Sheet1'!$T$42</f>
        <v>31197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333828</v>
      </c>
      <c r="D23" s="27">
        <f>SUM(D15:D22)</f>
        <v>350819</v>
      </c>
      <c r="E23" s="27">
        <f>SUM(E15:E22)</f>
        <v>16991</v>
      </c>
      <c r="F23" s="27">
        <f>SUM(F15:F22)</f>
        <v>333828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573974</v>
      </c>
      <c r="D24" s="27">
        <f>D13+D23</f>
        <v>603189</v>
      </c>
      <c r="E24" s="27">
        <f>E13+E23</f>
        <v>29215</v>
      </c>
      <c r="F24" s="27">
        <f>F13+F23</f>
        <v>573974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'[22]Sheet1'!$N$12</f>
        <v>453242</v>
      </c>
      <c r="D29" s="36">
        <f>'[22]Sheet1'!$R$12</f>
        <v>476311</v>
      </c>
      <c r="E29" s="36">
        <f>D29-C29</f>
        <v>23069</v>
      </c>
      <c r="F29" s="36">
        <v>143940</v>
      </c>
      <c r="G29" s="36">
        <f>C29-F29</f>
        <v>309302</v>
      </c>
      <c r="H29" s="63"/>
      <c r="I29" s="62"/>
    </row>
    <row r="30" spans="2:9" ht="13.5" thickBot="1">
      <c r="B30" s="26" t="s">
        <v>28</v>
      </c>
      <c r="C30" s="37">
        <f>C29</f>
        <v>453242</v>
      </c>
      <c r="D30" s="37">
        <f>D29</f>
        <v>476311</v>
      </c>
      <c r="E30" s="37">
        <f>E29</f>
        <v>23069</v>
      </c>
      <c r="F30" s="37">
        <f>F29</f>
        <v>143940</v>
      </c>
      <c r="G30" s="37">
        <f>G29</f>
        <v>309302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77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'[22]Sheet1'!$N$33</f>
        <v>390960</v>
      </c>
      <c r="D35" s="21">
        <f>'[22]Sheet1'!$R$33</f>
        <v>410859</v>
      </c>
      <c r="E35" s="21">
        <f>D35-C35</f>
        <v>19899</v>
      </c>
      <c r="F35" s="21">
        <f>C35</f>
        <v>390960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2096558.6</f>
        <v>2096558.6</v>
      </c>
      <c r="D37" s="21">
        <f>1919468.44+99808.68</f>
        <v>2019277.1199999999</v>
      </c>
      <c r="E37" s="21">
        <f>D37-C37</f>
        <v>-77281.48000000021</v>
      </c>
      <c r="F37" s="21">
        <f>'[22]Sheet1'!$T$36</f>
        <v>2285823</v>
      </c>
      <c r="G37" s="21">
        <f>C37-F37</f>
        <v>-189264.3999999999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2487518.6</v>
      </c>
      <c r="D39" s="37">
        <f>D35+D37</f>
        <v>2430136.12</v>
      </c>
      <c r="E39" s="37">
        <f>E35+E37</f>
        <v>-57382.480000000214</v>
      </c>
      <c r="F39" s="37">
        <f>F35+F37</f>
        <v>2676783</v>
      </c>
      <c r="G39" s="37">
        <f>G35+G37</f>
        <v>-189264.3999999999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-5098.480000000214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52284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-57382.480000000214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-189264.3999999999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-189264.3999999999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309302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309302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122765.4200000001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-186295.11-186194.59</f>
        <v>-372489.69999999995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-249724.27999999985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="33" customFormat="1" ht="12.75">
      <c r="C75" s="59" t="s">
        <v>54</v>
      </c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pans="2:6" ht="15">
      <c r="B77" s="60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46">
      <selection activeCell="F65" sqref="F65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141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'[23]Sheet1'!$N$15</f>
        <v>107249</v>
      </c>
      <c r="D10" s="21">
        <f>'[23]Sheet1'!$R$15</f>
        <v>111585</v>
      </c>
      <c r="E10" s="21">
        <f>D10-C10</f>
        <v>4336</v>
      </c>
      <c r="F10" s="21">
        <f>'[23]Sheet1'!$T$15</f>
        <v>107249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107249</v>
      </c>
      <c r="D13" s="27">
        <f>D10</f>
        <v>111585</v>
      </c>
      <c r="E13" s="27">
        <f>E10</f>
        <v>4336</v>
      </c>
      <c r="F13" s="27">
        <f>F10</f>
        <v>107249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'[23]Sheet1'!$N$18</f>
        <v>44564</v>
      </c>
      <c r="D16" s="31">
        <f>'[23]Sheet1'!$R$18</f>
        <v>46366</v>
      </c>
      <c r="E16" s="31">
        <f aca="true" t="shared" si="0" ref="E16:E22">D16-C16</f>
        <v>1802</v>
      </c>
      <c r="F16" s="31">
        <f>'[23]Sheet1'!$T$18</f>
        <v>44564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'[23]Sheet1'!$N$19</f>
        <v>3850</v>
      </c>
      <c r="D17" s="31">
        <f>'[23]Sheet1'!$R$19</f>
        <v>4005</v>
      </c>
      <c r="E17" s="31">
        <f t="shared" si="0"/>
        <v>155</v>
      </c>
      <c r="F17" s="31">
        <f>'[23]Sheet1'!$T$19</f>
        <v>3850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'[23]Sheet1'!$N$20</f>
        <v>8543</v>
      </c>
      <c r="D18" s="31">
        <f>'[23]Sheet1'!$R$20</f>
        <v>8889</v>
      </c>
      <c r="E18" s="31">
        <f t="shared" si="0"/>
        <v>346</v>
      </c>
      <c r="F18" s="31">
        <f>'[23]Sheet1'!$T$20</f>
        <v>8543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'[23]Sheet1'!$N$26</f>
        <v>77964</v>
      </c>
      <c r="D21" s="31">
        <f>'[23]Sheet1'!$R$26</f>
        <v>81115</v>
      </c>
      <c r="E21" s="31">
        <f t="shared" si="0"/>
        <v>3151</v>
      </c>
      <c r="F21" s="31">
        <f>'[23]Sheet1'!$T$26</f>
        <v>77964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'[23]Sheet1'!$N$41+'[23]Sheet1'!$N$42</f>
        <v>14022</v>
      </c>
      <c r="D22" s="31">
        <f>'[23]Sheet1'!$R$41+'[23]Sheet1'!$R$42</f>
        <v>14589</v>
      </c>
      <c r="E22" s="31">
        <f t="shared" si="0"/>
        <v>567</v>
      </c>
      <c r="F22" s="31">
        <f>'[23]Sheet1'!$T$41+'[23]Sheet1'!$T$42</f>
        <v>14022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148943</v>
      </c>
      <c r="D23" s="27">
        <f>SUM(D15:D22)</f>
        <v>154964</v>
      </c>
      <c r="E23" s="27">
        <f>SUM(E15:E22)</f>
        <v>6021</v>
      </c>
      <c r="F23" s="27">
        <f>SUM(F15:F22)</f>
        <v>148943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256192</v>
      </c>
      <c r="D24" s="27">
        <f>D13+D23</f>
        <v>266549</v>
      </c>
      <c r="E24" s="27">
        <f>E13+E23</f>
        <v>10357</v>
      </c>
      <c r="F24" s="27">
        <f>F13+F23</f>
        <v>256192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'[23]Sheet1'!$N$12</f>
        <v>202886</v>
      </c>
      <c r="D29" s="36">
        <f>'[23]Sheet1'!$R$12</f>
        <v>211088</v>
      </c>
      <c r="E29" s="36">
        <f>D29-C29</f>
        <v>8202</v>
      </c>
      <c r="F29" s="36">
        <f>'[23]Sheet1'!$U$12</f>
        <v>192761</v>
      </c>
      <c r="G29" s="36">
        <f>C29-F29</f>
        <v>10125</v>
      </c>
      <c r="H29" s="63"/>
      <c r="I29" s="62"/>
    </row>
    <row r="30" spans="2:9" ht="13.5" thickBot="1">
      <c r="B30" s="26" t="s">
        <v>28</v>
      </c>
      <c r="C30" s="37">
        <f>C29</f>
        <v>202886</v>
      </c>
      <c r="D30" s="37">
        <f>D29</f>
        <v>211088</v>
      </c>
      <c r="E30" s="37">
        <f>E29</f>
        <v>8202</v>
      </c>
      <c r="F30" s="37">
        <f>F29</f>
        <v>192761</v>
      </c>
      <c r="G30" s="37">
        <f>G29</f>
        <v>10125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'[23]Sheet1'!$N$33</f>
        <v>183615</v>
      </c>
      <c r="D35" s="21">
        <f>'[23]Sheet1'!$R$33</f>
        <v>191037</v>
      </c>
      <c r="E35" s="21">
        <f>D35-C35</f>
        <v>7422</v>
      </c>
      <c r="F35" s="21">
        <f>C35</f>
        <v>183615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1065874.81</v>
      </c>
      <c r="D37" s="21">
        <f>968168.69+88697.02</f>
        <v>1056865.71</v>
      </c>
      <c r="E37" s="21">
        <f>D37-C37</f>
        <v>-9009.100000000093</v>
      </c>
      <c r="F37" s="21">
        <f>'[23]Sheet1'!$T$36</f>
        <v>1176538</v>
      </c>
      <c r="G37" s="21">
        <f>C37-F37</f>
        <v>-110663.18999999994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1249489.81</v>
      </c>
      <c r="D39" s="37">
        <f>D35+D37</f>
        <v>1247902.71</v>
      </c>
      <c r="E39" s="37">
        <f>E35+E37</f>
        <v>-1587.1000000000931</v>
      </c>
      <c r="F39" s="37">
        <f>F35+F37</f>
        <v>1360153</v>
      </c>
      <c r="G39" s="37">
        <f>G35+G37</f>
        <v>-110663.18999999994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16971.899999999907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18559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-1587.1000000000931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-110663.18999999994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-110663.18999999994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43</v>
      </c>
      <c r="C52" s="64"/>
      <c r="D52" s="64"/>
      <c r="E52" s="65"/>
      <c r="F52" s="51"/>
      <c r="G52" s="44">
        <f>F54+F55</f>
        <v>10125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10125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-97810.36999999994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-103899.12-136134.74</f>
        <v>-240033.86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-337844.2299999999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="33" customFormat="1" ht="12.75">
      <c r="C74" s="59" t="s">
        <v>54</v>
      </c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6" ht="15">
      <c r="B76" s="60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25">
      <selection activeCell="H31" sqref="H31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142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'[24]Sheet1'!$N$15</f>
        <v>259825</v>
      </c>
      <c r="D10" s="21">
        <f>'[24]Sheet1'!$R$15</f>
        <v>270356</v>
      </c>
      <c r="E10" s="21">
        <f>D10-C10</f>
        <v>10531</v>
      </c>
      <c r="F10" s="21">
        <f>'[24]Sheet1'!$T$15</f>
        <v>259825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259825</v>
      </c>
      <c r="D13" s="27">
        <f>D10</f>
        <v>270356</v>
      </c>
      <c r="E13" s="27">
        <f>E10</f>
        <v>10531</v>
      </c>
      <c r="F13" s="27">
        <f>F10</f>
        <v>259825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'[24]Sheet1'!$N$18</f>
        <v>96689</v>
      </c>
      <c r="D16" s="31">
        <f>'[24]Sheet1'!$R$18</f>
        <v>100608</v>
      </c>
      <c r="E16" s="31">
        <f aca="true" t="shared" si="0" ref="E16:E22">D16-C16</f>
        <v>3919</v>
      </c>
      <c r="F16" s="31">
        <f>'[24]Sheet1'!$T$18</f>
        <v>96689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'[24]Sheet1'!$N$19</f>
        <v>8326</v>
      </c>
      <c r="D17" s="31">
        <f>'[24]Sheet1'!$R$19</f>
        <v>8664</v>
      </c>
      <c r="E17" s="31">
        <f t="shared" si="0"/>
        <v>338</v>
      </c>
      <c r="F17" s="31">
        <f>'[24]Sheet1'!$T$19</f>
        <v>8326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'[24]Sheet1'!$N$20</f>
        <v>18858</v>
      </c>
      <c r="D18" s="31">
        <f>'[24]Sheet1'!$R$20</f>
        <v>19622</v>
      </c>
      <c r="E18" s="31">
        <f t="shared" si="0"/>
        <v>764</v>
      </c>
      <c r="F18" s="31">
        <f>'[24]Sheet1'!$T$20</f>
        <v>18858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'[24]Sheet1'!$N$26</f>
        <v>171584</v>
      </c>
      <c r="D21" s="31">
        <f>'[24]Sheet1'!$R$26</f>
        <v>178538</v>
      </c>
      <c r="E21" s="31">
        <f t="shared" si="0"/>
        <v>6954</v>
      </c>
      <c r="F21" s="31">
        <f>'[24]Sheet1'!$T$26</f>
        <v>171584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'[24]Sheet1'!$N$41+'[24]Sheet1'!$N$42</f>
        <v>30209</v>
      </c>
      <c r="D22" s="31">
        <f>'[24]Sheet1'!$R$41+'[24]Sheet1'!$R$42</f>
        <v>31433</v>
      </c>
      <c r="E22" s="31">
        <f t="shared" si="0"/>
        <v>1224</v>
      </c>
      <c r="F22" s="31">
        <f>'[24]Sheet1'!$T$41+'[24]Sheet1'!$T$42</f>
        <v>30209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325666</v>
      </c>
      <c r="D23" s="27">
        <f>SUM(D15:D22)</f>
        <v>338865</v>
      </c>
      <c r="E23" s="27">
        <f>SUM(E15:E22)</f>
        <v>13199</v>
      </c>
      <c r="F23" s="27">
        <f>SUM(F15:F22)</f>
        <v>325666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585491</v>
      </c>
      <c r="D24" s="27">
        <f>D13+D23</f>
        <v>609221</v>
      </c>
      <c r="E24" s="27">
        <f>E13+E23</f>
        <v>23730</v>
      </c>
      <c r="F24" s="27">
        <f>F13+F23</f>
        <v>585491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'[24]Sheet1'!$N$12</f>
        <v>458467</v>
      </c>
      <c r="D29" s="36">
        <f>'[24]Sheet1'!$R$12</f>
        <v>477050</v>
      </c>
      <c r="E29" s="36">
        <f>D29-C29</f>
        <v>18583</v>
      </c>
      <c r="F29" s="36">
        <v>139570</v>
      </c>
      <c r="G29" s="36">
        <f>C29-F29</f>
        <v>318897</v>
      </c>
      <c r="H29" s="63"/>
      <c r="I29" s="62"/>
    </row>
    <row r="30" spans="2:9" ht="13.5" thickBot="1">
      <c r="B30" s="26" t="s">
        <v>28</v>
      </c>
      <c r="C30" s="37">
        <f>C29</f>
        <v>458467</v>
      </c>
      <c r="D30" s="37">
        <f>D29</f>
        <v>477050</v>
      </c>
      <c r="E30" s="37">
        <f>E29</f>
        <v>18583</v>
      </c>
      <c r="F30" s="37">
        <f>F29</f>
        <v>139570</v>
      </c>
      <c r="G30" s="37">
        <f>G29</f>
        <v>318897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'[24]Sheet1'!$N$33</f>
        <v>453617</v>
      </c>
      <c r="D35" s="21">
        <f>'[24]Sheet1'!$R$33</f>
        <v>472004</v>
      </c>
      <c r="E35" s="21">
        <f>D35-C35</f>
        <v>18387</v>
      </c>
      <c r="F35" s="21">
        <f>C35</f>
        <v>453617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2232799.31</f>
        <v>2232799.31</v>
      </c>
      <c r="D37" s="21">
        <f>2007095.32+117710.26</f>
        <v>2124805.58</v>
      </c>
      <c r="E37" s="21">
        <f>D37-C37</f>
        <v>-107993.72999999998</v>
      </c>
      <c r="F37" s="21">
        <f>'[24]Sheet1'!$T$36</f>
        <v>2339579</v>
      </c>
      <c r="G37" s="21">
        <f>C37-F37</f>
        <v>-106779.68999999994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2686416.31</v>
      </c>
      <c r="D39" s="37">
        <f>D35+D37</f>
        <v>2596809.58</v>
      </c>
      <c r="E39" s="37">
        <f>E35+E37</f>
        <v>-89606.72999999998</v>
      </c>
      <c r="F39" s="37">
        <f>F35+F37</f>
        <v>2793196</v>
      </c>
      <c r="G39" s="37">
        <f>G35+G37</f>
        <v>-106779.68999999994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-47293.72999999998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42313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-89606.72999999998</v>
      </c>
      <c r="G45" s="62"/>
      <c r="H45" s="62"/>
      <c r="I45" s="62"/>
    </row>
    <row r="46" spans="2:9" ht="12.75">
      <c r="B46" s="57" t="s">
        <v>74</v>
      </c>
      <c r="C46" s="62"/>
      <c r="D46" s="62"/>
      <c r="E46" s="62"/>
      <c r="F46" s="47"/>
      <c r="G46" s="62"/>
      <c r="H46" s="62"/>
      <c r="I46" s="62"/>
    </row>
    <row r="47" spans="2:9" ht="12.75">
      <c r="B47" s="57" t="s">
        <v>52</v>
      </c>
      <c r="C47" s="62"/>
      <c r="D47" s="62"/>
      <c r="E47" s="62"/>
      <c r="F47" s="47"/>
      <c r="G47" s="62"/>
      <c r="H47" s="62"/>
      <c r="I47" s="62"/>
    </row>
    <row r="48" spans="2:9" ht="12.75">
      <c r="B48" s="46"/>
      <c r="C48" s="62"/>
      <c r="D48" s="62"/>
      <c r="E48" s="62"/>
      <c r="F48" s="47"/>
      <c r="G48" s="62"/>
      <c r="H48" s="62"/>
      <c r="I48" s="62"/>
    </row>
    <row r="49" spans="2:9" s="1" customFormat="1" ht="12.75">
      <c r="B49" s="48" t="s">
        <v>134</v>
      </c>
      <c r="C49" s="64"/>
      <c r="D49" s="64"/>
      <c r="E49" s="65"/>
      <c r="F49" s="51"/>
      <c r="G49" s="44">
        <f>F51+F52</f>
        <v>-106779.68999999994</v>
      </c>
      <c r="H49" s="64"/>
      <c r="I49" s="64"/>
    </row>
    <row r="50" spans="2:9" s="1" customFormat="1" ht="12.75">
      <c r="B50" s="45" t="s">
        <v>37</v>
      </c>
      <c r="C50" s="64"/>
      <c r="D50" s="64"/>
      <c r="E50" s="65"/>
      <c r="F50" s="51"/>
      <c r="G50" s="52"/>
      <c r="H50" s="64"/>
      <c r="I50" s="64"/>
    </row>
    <row r="51" spans="2:9" s="1" customFormat="1" ht="12.75">
      <c r="B51" s="46" t="s">
        <v>41</v>
      </c>
      <c r="C51" s="64"/>
      <c r="D51" s="64"/>
      <c r="E51" s="65"/>
      <c r="F51" s="47">
        <f>IF((G24+G30)&lt;=0,G24+G30,0)</f>
        <v>0</v>
      </c>
      <c r="G51" s="52"/>
      <c r="H51" s="64"/>
      <c r="I51" s="64"/>
    </row>
    <row r="52" spans="2:9" s="1" customFormat="1" ht="12.75">
      <c r="B52" s="46" t="s">
        <v>42</v>
      </c>
      <c r="C52" s="64"/>
      <c r="D52" s="64"/>
      <c r="E52" s="65"/>
      <c r="F52" s="47">
        <f>IF(G39&lt;=0,G39,0)</f>
        <v>-106779.68999999994</v>
      </c>
      <c r="G52" s="52"/>
      <c r="H52" s="64"/>
      <c r="I52" s="64"/>
    </row>
    <row r="53" spans="2:9" s="1" customFormat="1" ht="12.75">
      <c r="B53" s="46"/>
      <c r="C53" s="64"/>
      <c r="D53" s="64"/>
      <c r="E53" s="65"/>
      <c r="F53" s="51"/>
      <c r="G53" s="52"/>
      <c r="H53" s="64"/>
      <c r="I53" s="64"/>
    </row>
    <row r="54" spans="2:9" s="1" customFormat="1" ht="12.75">
      <c r="B54" s="48" t="s">
        <v>60</v>
      </c>
      <c r="C54" s="64"/>
      <c r="D54" s="64"/>
      <c r="E54" s="65"/>
      <c r="F54" s="51"/>
      <c r="G54" s="44">
        <f>F56+F57</f>
        <v>318897</v>
      </c>
      <c r="H54" s="64"/>
      <c r="I54" s="64"/>
    </row>
    <row r="55" spans="2:9" ht="12.75">
      <c r="B55" s="45" t="s">
        <v>37</v>
      </c>
      <c r="C55" s="62"/>
      <c r="D55" s="62"/>
      <c r="E55" s="62"/>
      <c r="F55" s="33"/>
      <c r="G55" s="52"/>
      <c r="H55" s="62"/>
      <c r="I55" s="62"/>
    </row>
    <row r="56" spans="2:9" ht="12.75">
      <c r="B56" s="46" t="s">
        <v>41</v>
      </c>
      <c r="C56" s="62"/>
      <c r="D56" s="62"/>
      <c r="E56" s="62"/>
      <c r="F56" s="47">
        <f>IF((G24+G30)&gt;0,G24+G30,0)</f>
        <v>318897</v>
      </c>
      <c r="G56" s="62"/>
      <c r="H56" s="62"/>
      <c r="I56" s="62"/>
    </row>
    <row r="57" spans="2:9" ht="12.75">
      <c r="B57" s="46" t="s">
        <v>42</v>
      </c>
      <c r="C57" s="62"/>
      <c r="D57" s="62"/>
      <c r="E57" s="62"/>
      <c r="F57" s="47">
        <f>IF(G39&gt;0,G39,0)</f>
        <v>0</v>
      </c>
      <c r="G57" s="62"/>
      <c r="H57" s="62"/>
      <c r="I57" s="62"/>
    </row>
    <row r="58" spans="2:9" ht="12.75">
      <c r="B58" s="46"/>
      <c r="C58" s="62"/>
      <c r="D58" s="62"/>
      <c r="E58" s="62"/>
      <c r="F58" s="47"/>
      <c r="G58" s="62"/>
      <c r="H58" s="62"/>
      <c r="I58" s="62"/>
    </row>
    <row r="59" spans="2:9" ht="12.75">
      <c r="B59" s="53" t="s">
        <v>44</v>
      </c>
      <c r="C59" s="11"/>
      <c r="D59" s="11"/>
      <c r="E59" s="11"/>
      <c r="F59" s="33"/>
      <c r="G59" s="11"/>
      <c r="H59" s="11"/>
      <c r="I59" s="11"/>
    </row>
    <row r="60" spans="2:9" ht="12.75">
      <c r="B60" s="33" t="s">
        <v>45</v>
      </c>
      <c r="C60" s="11"/>
      <c r="D60" s="11"/>
      <c r="E60" s="54"/>
      <c r="F60" s="51"/>
      <c r="G60" s="44">
        <f>1627.82+400+700</f>
        <v>2727.8199999999997</v>
      </c>
      <c r="H60" s="11"/>
      <c r="I60" s="11"/>
    </row>
    <row r="61" spans="2:9" ht="12.75">
      <c r="B61" s="10"/>
      <c r="C61" s="11"/>
      <c r="D61" s="11"/>
      <c r="E61" s="11"/>
      <c r="F61" s="11"/>
      <c r="G61" s="11"/>
      <c r="H61" s="11"/>
      <c r="I61" s="11"/>
    </row>
    <row r="62" spans="2:9" ht="12.75">
      <c r="B62" s="46"/>
      <c r="C62" s="11"/>
      <c r="D62" s="11"/>
      <c r="E62" s="11"/>
      <c r="F62" s="47"/>
      <c r="G62" s="11"/>
      <c r="H62" s="11"/>
      <c r="I62" s="11"/>
    </row>
    <row r="63" spans="2:9" ht="15.75">
      <c r="B63" s="55" t="s">
        <v>46</v>
      </c>
      <c r="C63" s="11"/>
      <c r="D63" s="11"/>
      <c r="E63" s="11"/>
      <c r="F63" s="56">
        <f>G49+G54+G60</f>
        <v>214845.13000000006</v>
      </c>
      <c r="G63" s="56" t="s">
        <v>47</v>
      </c>
      <c r="H63" s="11"/>
      <c r="I63" s="11"/>
    </row>
    <row r="64" spans="2:9" ht="12.75">
      <c r="B64" s="57" t="s">
        <v>48</v>
      </c>
      <c r="C64" s="11"/>
      <c r="D64" s="11"/>
      <c r="E64" s="11"/>
      <c r="F64" s="47"/>
      <c r="G64" s="11"/>
      <c r="H64" s="11"/>
      <c r="I64" s="11"/>
    </row>
    <row r="65" spans="2:9" ht="12.75">
      <c r="B65" s="57" t="s">
        <v>49</v>
      </c>
      <c r="C65" s="11"/>
      <c r="D65" s="11"/>
      <c r="E65" s="11"/>
      <c r="F65" s="47"/>
      <c r="G65" s="11"/>
      <c r="H65" s="11"/>
      <c r="I65" s="11"/>
    </row>
    <row r="66" spans="2:9" ht="12.75">
      <c r="B66" s="46"/>
      <c r="C66" s="11"/>
      <c r="D66" s="11"/>
      <c r="E66" s="11"/>
      <c r="F66" s="47"/>
      <c r="G66" s="11"/>
      <c r="H66" s="11"/>
      <c r="I66" s="11"/>
    </row>
    <row r="67" spans="2:9" ht="15.75">
      <c r="B67" s="55" t="s">
        <v>50</v>
      </c>
      <c r="C67" s="11"/>
      <c r="D67" s="11"/>
      <c r="E67" s="11"/>
      <c r="F67" s="56">
        <f>-274912.14-345228.26</f>
        <v>-620140.4</v>
      </c>
      <c r="G67" s="56" t="s">
        <v>47</v>
      </c>
      <c r="H67" s="11"/>
      <c r="I67" s="11"/>
    </row>
    <row r="68" spans="2:9" ht="12.75">
      <c r="B68" s="57" t="s">
        <v>51</v>
      </c>
      <c r="C68" s="11"/>
      <c r="D68" s="11"/>
      <c r="E68" s="11"/>
      <c r="F68" s="47"/>
      <c r="G68" s="11"/>
      <c r="H68" s="11"/>
      <c r="I68" s="11"/>
    </row>
    <row r="69" spans="2:9" ht="12.75">
      <c r="B69" s="57" t="s">
        <v>52</v>
      </c>
      <c r="C69" s="11"/>
      <c r="D69" s="11"/>
      <c r="E69" s="11"/>
      <c r="F69" s="47"/>
      <c r="G69" s="11"/>
      <c r="H69" s="11"/>
      <c r="I69" s="11"/>
    </row>
    <row r="70" spans="2:9" ht="12.75">
      <c r="B70" s="33"/>
      <c r="C70" s="62"/>
      <c r="D70" s="62"/>
      <c r="E70" s="62"/>
      <c r="F70" s="62"/>
      <c r="G70" s="62"/>
      <c r="H70" s="62"/>
      <c r="I70" s="62"/>
    </row>
    <row r="71" spans="1:9" ht="15.75">
      <c r="A71" s="11"/>
      <c r="B71" s="58" t="s">
        <v>53</v>
      </c>
      <c r="C71" s="58"/>
      <c r="D71" s="58"/>
      <c r="E71" s="11"/>
      <c r="F71" s="56">
        <f>F63+F67</f>
        <v>-405295.26999999996</v>
      </c>
      <c r="G71" s="56" t="s">
        <v>47</v>
      </c>
      <c r="H71" s="11"/>
      <c r="I71" s="11"/>
    </row>
    <row r="72" spans="1:9" ht="12.75">
      <c r="A72" s="11"/>
      <c r="B72" s="38" t="s">
        <v>48</v>
      </c>
      <c r="C72" s="38"/>
      <c r="D72" s="11"/>
      <c r="E72" s="11"/>
      <c r="F72" s="47"/>
      <c r="G72" s="11"/>
      <c r="H72" s="11"/>
      <c r="I72" s="11"/>
    </row>
    <row r="73" spans="1:9" ht="12.75">
      <c r="A73" s="11"/>
      <c r="B73" s="38" t="s">
        <v>49</v>
      </c>
      <c r="C73" s="11"/>
      <c r="D73" s="11"/>
      <c r="E73" s="11"/>
      <c r="F73" s="47"/>
      <c r="G73" s="11"/>
      <c r="H73" s="11"/>
      <c r="I73" s="11"/>
    </row>
    <row r="74" spans="2:6" ht="14.25">
      <c r="B74" s="61"/>
      <c r="C74" s="61"/>
      <c r="D74" s="61"/>
      <c r="E74" s="61"/>
      <c r="F74" s="61"/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="33" customFormat="1" ht="12.75">
      <c r="C76" s="59" t="s">
        <v>54</v>
      </c>
    </row>
    <row r="77" spans="2:9" ht="12.75">
      <c r="B77" s="33"/>
      <c r="C77" s="62"/>
      <c r="D77" s="62"/>
      <c r="E77" s="62"/>
      <c r="F77" s="62"/>
      <c r="G77" s="62"/>
      <c r="H77" s="62"/>
      <c r="I77" s="62"/>
    </row>
    <row r="78" spans="2:6" ht="15">
      <c r="B78" s="60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  <row r="85" spans="2:6" ht="14.25">
      <c r="B85" s="61"/>
      <c r="C85" s="61"/>
      <c r="D85" s="61"/>
      <c r="E85" s="61"/>
      <c r="F85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5">
      <selection activeCell="L29" sqref="L29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143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'[25]Sheet1'!$N$15</f>
        <v>262243</v>
      </c>
      <c r="D10" s="21">
        <f>'[25]Sheet1'!$R$15</f>
        <v>287414</v>
      </c>
      <c r="E10" s="21">
        <f>D10-C10</f>
        <v>25171</v>
      </c>
      <c r="F10" s="21">
        <f>'[25]Sheet1'!$T$15</f>
        <v>262243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262243</v>
      </c>
      <c r="D13" s="27">
        <f>D10</f>
        <v>287414</v>
      </c>
      <c r="E13" s="27">
        <f>E10</f>
        <v>25171</v>
      </c>
      <c r="F13" s="27">
        <f>F10</f>
        <v>262243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'[25]Sheet1'!$N$18</f>
        <v>95653</v>
      </c>
      <c r="D16" s="31">
        <f>'[25]Sheet1'!$R$18</f>
        <v>104834</v>
      </c>
      <c r="E16" s="31">
        <f aca="true" t="shared" si="0" ref="E16:E22">D16-C16</f>
        <v>9181</v>
      </c>
      <c r="F16" s="31">
        <f>'[25]Sheet1'!$T$18</f>
        <v>95653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'[25]Sheet1'!$N$19</f>
        <v>8247</v>
      </c>
      <c r="D17" s="31">
        <f>'[25]Sheet1'!$R$19</f>
        <v>9039</v>
      </c>
      <c r="E17" s="31">
        <f t="shared" si="0"/>
        <v>792</v>
      </c>
      <c r="F17" s="31">
        <f>'[25]Sheet1'!$T$19</f>
        <v>8247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'[25]Sheet1'!$N$20</f>
        <v>18530</v>
      </c>
      <c r="D18" s="31">
        <f>'[25]Sheet1'!$R$20</f>
        <v>20308</v>
      </c>
      <c r="E18" s="31">
        <f t="shared" si="0"/>
        <v>1778</v>
      </c>
      <c r="F18" s="31">
        <f>'[25]Sheet1'!$T$20</f>
        <v>18530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'[25]Sheet1'!$N$26</f>
        <v>168794</v>
      </c>
      <c r="D21" s="31">
        <f>'[25]Sheet1'!$R$26</f>
        <v>184996</v>
      </c>
      <c r="E21" s="31">
        <f t="shared" si="0"/>
        <v>16202</v>
      </c>
      <c r="F21" s="31">
        <f>'[25]Sheet1'!$T$26</f>
        <v>168794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'[25]Sheet1'!$N$41+'[25]Sheet1'!$N$42</f>
        <v>29968</v>
      </c>
      <c r="D22" s="31">
        <f>'[25]Sheet1'!$R$41+'[25]Sheet1'!$R$42</f>
        <v>32844</v>
      </c>
      <c r="E22" s="31">
        <f t="shared" si="0"/>
        <v>2876</v>
      </c>
      <c r="F22" s="31">
        <f>'[25]Sheet1'!$T$41+'[25]Sheet1'!$T$42</f>
        <v>29968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321192</v>
      </c>
      <c r="D23" s="27">
        <f>SUM(D15:D22)</f>
        <v>352021</v>
      </c>
      <c r="E23" s="27">
        <f>SUM(E15:E22)</f>
        <v>30829</v>
      </c>
      <c r="F23" s="27">
        <f>SUM(F15:F22)</f>
        <v>321192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583435</v>
      </c>
      <c r="D24" s="27">
        <f>D13+D23</f>
        <v>639435</v>
      </c>
      <c r="E24" s="27">
        <f>E13+E23</f>
        <v>56000</v>
      </c>
      <c r="F24" s="27">
        <f>F13+F23</f>
        <v>583435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'[25]Sheet1'!$N$12</f>
        <v>454982</v>
      </c>
      <c r="D29" s="36">
        <f>'[25]Sheet1'!$R$12</f>
        <v>498652</v>
      </c>
      <c r="E29" s="36">
        <f>D29-C29</f>
        <v>43670</v>
      </c>
      <c r="F29" s="36">
        <v>281413</v>
      </c>
      <c r="G29" s="36">
        <f>C29-F29</f>
        <v>173569</v>
      </c>
      <c r="H29" s="63"/>
      <c r="I29" s="62"/>
    </row>
    <row r="30" spans="2:9" ht="13.5" thickBot="1">
      <c r="B30" s="26" t="s">
        <v>28</v>
      </c>
      <c r="C30" s="37">
        <f>C29</f>
        <v>454982</v>
      </c>
      <c r="D30" s="37">
        <f>D29</f>
        <v>498652</v>
      </c>
      <c r="E30" s="37">
        <f>E29</f>
        <v>43670</v>
      </c>
      <c r="F30" s="37">
        <f>F29</f>
        <v>281413</v>
      </c>
      <c r="G30" s="37">
        <f>G29</f>
        <v>173569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'[25]Sheet1'!$N$33</f>
        <v>427628</v>
      </c>
      <c r="D35" s="21">
        <f>'[25]Sheet1'!$R$33</f>
        <v>468673</v>
      </c>
      <c r="E35" s="21">
        <f>D35-C35</f>
        <v>41045</v>
      </c>
      <c r="F35" s="21">
        <f>C35</f>
        <v>427628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1704866.99</v>
      </c>
      <c r="D37" s="21">
        <f>1422493.46+217636.06</f>
        <v>1640129.52</v>
      </c>
      <c r="E37" s="21">
        <f>D37-C37</f>
        <v>-64737.46999999997</v>
      </c>
      <c r="F37" s="21">
        <f>'[25]Sheet1'!$T$36</f>
        <v>2291754</v>
      </c>
      <c r="G37" s="21">
        <f>C37-F37</f>
        <v>-586887.01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2132494.99</v>
      </c>
      <c r="D39" s="37">
        <f>D35+D37</f>
        <v>2108802.52</v>
      </c>
      <c r="E39" s="37">
        <f>E35+E37</f>
        <v>-23692.469999999972</v>
      </c>
      <c r="F39" s="37">
        <f>F35+F37</f>
        <v>2719382</v>
      </c>
      <c r="G39" s="37">
        <f>G35+G37</f>
        <v>-586887.01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69</v>
      </c>
      <c r="C42" s="62"/>
      <c r="D42" s="62"/>
      <c r="E42" s="62"/>
      <c r="F42" s="62"/>
      <c r="G42" s="44">
        <f>F44+F45</f>
        <v>75977.53000000003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99670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-23692.469999999972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-586887.01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-586887.01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173569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173569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-410590.19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-282988.9-356938.87</f>
        <v>-639927.77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-1050517.96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6" ht="14.25">
      <c r="B73" s="61"/>
      <c r="C73" s="61"/>
      <c r="D73" s="61"/>
      <c r="E73" s="61"/>
      <c r="F73" s="61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="33" customFormat="1" ht="12.75">
      <c r="C75" s="59" t="s">
        <v>54</v>
      </c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pans="2:6" ht="15">
      <c r="B77" s="60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22">
      <selection activeCell="F66" sqref="F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144</v>
      </c>
      <c r="E2" s="119"/>
      <c r="F2" s="119"/>
    </row>
    <row r="3" spans="2:6" ht="18.75">
      <c r="B3" s="119"/>
      <c r="D3" s="7" t="s">
        <v>2</v>
      </c>
      <c r="E3" s="119"/>
      <c r="F3" s="119"/>
    </row>
    <row r="4" spans="2:6" ht="12" customHeight="1">
      <c r="B4" s="8"/>
      <c r="C4" s="120"/>
      <c r="D4" s="120"/>
      <c r="E4" s="120"/>
      <c r="F4" s="120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'[26]Sheet1'!$N$15</f>
        <v>175934</v>
      </c>
      <c r="D9" s="21">
        <f>'[26]Sheet1'!$R$15</f>
        <v>217402</v>
      </c>
      <c r="E9" s="21">
        <f>D9-C9</f>
        <v>41468</v>
      </c>
      <c r="F9" s="21">
        <f>'[26]Sheet1'!$T$15</f>
        <v>175934</v>
      </c>
      <c r="G9" s="21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62"/>
      <c r="I11" s="62"/>
    </row>
    <row r="12" spans="2:9" ht="13.5" thickBot="1">
      <c r="B12" s="26" t="s">
        <v>16</v>
      </c>
      <c r="C12" s="27">
        <f>C9</f>
        <v>175934</v>
      </c>
      <c r="D12" s="27">
        <f>D9</f>
        <v>217402</v>
      </c>
      <c r="E12" s="27">
        <f>E9</f>
        <v>41468</v>
      </c>
      <c r="F12" s="27">
        <f>F9</f>
        <v>175934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4.75" customHeight="1" thickBot="1">
      <c r="B14" s="24" t="s">
        <v>68</v>
      </c>
      <c r="C14" s="31">
        <f>'[26]Sheet1'!$N$17</f>
        <v>65719</v>
      </c>
      <c r="D14" s="31">
        <f>'[26]Sheet1'!$R$17</f>
        <v>81209</v>
      </c>
      <c r="E14" s="31">
        <f>D14-C14</f>
        <v>15490</v>
      </c>
      <c r="F14" s="31">
        <f>C14</f>
        <v>65719</v>
      </c>
      <c r="G14" s="31">
        <f>C14-F14</f>
        <v>0</v>
      </c>
      <c r="H14" s="62"/>
      <c r="I14" s="62"/>
    </row>
    <row r="15" spans="2:9" ht="24.75" customHeight="1" thickBot="1">
      <c r="B15" s="24" t="s">
        <v>18</v>
      </c>
      <c r="C15" s="31">
        <f>'[26]Sheet1'!$N$18</f>
        <v>37127</v>
      </c>
      <c r="D15" s="31">
        <f>'[26]Sheet1'!$R$18</f>
        <v>45878</v>
      </c>
      <c r="E15" s="31">
        <f aca="true" t="shared" si="0" ref="E15:E22">D15-C15</f>
        <v>8751</v>
      </c>
      <c r="F15" s="31">
        <f>'[26]Sheet1'!$T$18</f>
        <v>37127</v>
      </c>
      <c r="G15" s="31">
        <f aca="true" t="shared" si="1" ref="G15:G22">C15-F15</f>
        <v>0</v>
      </c>
      <c r="H15" s="62"/>
      <c r="I15" s="62"/>
    </row>
    <row r="16" spans="2:9" ht="14.25" customHeight="1" thickBot="1">
      <c r="B16" s="24" t="s">
        <v>19</v>
      </c>
      <c r="C16" s="31">
        <f>'[26]Sheet1'!$N$19</f>
        <v>2452</v>
      </c>
      <c r="D16" s="31">
        <f>'[26]Sheet1'!$R$19</f>
        <v>3030</v>
      </c>
      <c r="E16" s="31">
        <f t="shared" si="0"/>
        <v>578</v>
      </c>
      <c r="F16" s="31">
        <f>'[26]Sheet1'!$T$19</f>
        <v>2452</v>
      </c>
      <c r="G16" s="31">
        <f t="shared" si="1"/>
        <v>0</v>
      </c>
      <c r="H16" s="62"/>
      <c r="I16" s="62"/>
    </row>
    <row r="17" spans="2:9" ht="15" customHeight="1" thickBot="1">
      <c r="B17" s="24" t="s">
        <v>20</v>
      </c>
      <c r="C17" s="31">
        <f>'[26]Sheet1'!$N$20</f>
        <v>10508</v>
      </c>
      <c r="D17" s="31">
        <f>'[26]Sheet1'!$R$20</f>
        <v>12984</v>
      </c>
      <c r="E17" s="31">
        <f t="shared" si="0"/>
        <v>2476</v>
      </c>
      <c r="F17" s="31">
        <f>'[26]Sheet1'!$T$20</f>
        <v>10508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'[26]Sheet1'!$N$25</f>
        <v>208737</v>
      </c>
      <c r="D18" s="31">
        <f>'[26]Sheet1'!$R$25</f>
        <v>257937</v>
      </c>
      <c r="E18" s="31">
        <f t="shared" si="0"/>
        <v>49200</v>
      </c>
      <c r="F18" s="31">
        <f>C18</f>
        <v>208737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'[26]Sheet1'!$N$24</f>
        <v>49036</v>
      </c>
      <c r="D19" s="31">
        <f>'[26]Sheet1'!$R$24</f>
        <v>60593</v>
      </c>
      <c r="E19" s="31">
        <f t="shared" si="0"/>
        <v>11557</v>
      </c>
      <c r="F19" s="31">
        <f>C19</f>
        <v>49036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'[26]Sheet1'!$N$26</f>
        <v>98908</v>
      </c>
      <c r="D20" s="31">
        <f>'[26]Sheet1'!$R$26</f>
        <v>122222</v>
      </c>
      <c r="E20" s="31">
        <f t="shared" si="0"/>
        <v>23314</v>
      </c>
      <c r="F20" s="31">
        <f>'[26]Sheet1'!$T$26</f>
        <v>98908</v>
      </c>
      <c r="G20" s="31">
        <f t="shared" si="1"/>
        <v>0</v>
      </c>
      <c r="H20" s="62"/>
      <c r="I20" s="62"/>
    </row>
    <row r="21" spans="2:9" ht="25.5" customHeight="1" thickBot="1">
      <c r="B21" s="24" t="s">
        <v>145</v>
      </c>
      <c r="C21" s="31">
        <v>0</v>
      </c>
      <c r="D21" s="31">
        <v>0</v>
      </c>
      <c r="E21" s="31">
        <f>D21-C21</f>
        <v>0</v>
      </c>
      <c r="F21" s="31">
        <f>C21</f>
        <v>0</v>
      </c>
      <c r="G21" s="31">
        <f>C21-F21</f>
        <v>0</v>
      </c>
      <c r="H21" s="62"/>
      <c r="I21" s="62"/>
    </row>
    <row r="22" spans="2:9" ht="25.5" customHeight="1" thickBot="1">
      <c r="B22" s="24" t="s">
        <v>22</v>
      </c>
      <c r="C22" s="31">
        <f>'[26]Sheet1'!$N$41+'[26]Sheet1'!$N$42</f>
        <v>11560</v>
      </c>
      <c r="D22" s="31">
        <f>'[26]Sheet1'!$R$41+'[26]Sheet1'!$R$42</f>
        <v>14284</v>
      </c>
      <c r="E22" s="31">
        <f t="shared" si="0"/>
        <v>2724</v>
      </c>
      <c r="F22" s="31">
        <f>'[26]Sheet1'!$T$41+'[26]Sheet1'!$T$42</f>
        <v>11560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SUM(C14:C22)</f>
        <v>484047</v>
      </c>
      <c r="D23" s="27">
        <f>SUM(D14:D22)</f>
        <v>598137</v>
      </c>
      <c r="E23" s="27">
        <f>SUM(E14:E22)</f>
        <v>114090</v>
      </c>
      <c r="F23" s="27">
        <f>SUM(F14:F22)</f>
        <v>484047</v>
      </c>
      <c r="G23" s="27">
        <f>SUM(G14:G22)</f>
        <v>0</v>
      </c>
      <c r="H23" s="62"/>
      <c r="I23" s="62"/>
    </row>
    <row r="24" spans="2:9" ht="13.5" thickBot="1">
      <c r="B24" s="32" t="s">
        <v>23</v>
      </c>
      <c r="C24" s="27">
        <f>C12+C23</f>
        <v>659981</v>
      </c>
      <c r="D24" s="27">
        <f>D12+D23</f>
        <v>815539</v>
      </c>
      <c r="E24" s="27">
        <f>E12+E23</f>
        <v>155558</v>
      </c>
      <c r="F24" s="27">
        <f>F12+F23</f>
        <v>659981</v>
      </c>
      <c r="G24" s="27">
        <f>G12+G23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'[26]Sheet1'!$N$12</f>
        <v>222638</v>
      </c>
      <c r="D29" s="36">
        <f>'[26]Sheet1'!$R$12</f>
        <v>275115</v>
      </c>
      <c r="E29" s="36">
        <f>D29-C29</f>
        <v>52477</v>
      </c>
      <c r="F29" s="36">
        <f>'[26]Sheet1'!$U$12</f>
        <v>190989</v>
      </c>
      <c r="G29" s="36">
        <f>C29-F29</f>
        <v>31649</v>
      </c>
      <c r="H29" s="63"/>
      <c r="I29" s="62"/>
    </row>
    <row r="30" spans="2:9" ht="13.5" thickBot="1">
      <c r="B30" s="26" t="s">
        <v>28</v>
      </c>
      <c r="C30" s="37">
        <f>C29</f>
        <v>222638</v>
      </c>
      <c r="D30" s="37">
        <f>D29</f>
        <v>275115</v>
      </c>
      <c r="E30" s="37">
        <f>E29</f>
        <v>52477</v>
      </c>
      <c r="F30" s="37">
        <f>F29</f>
        <v>190989</v>
      </c>
      <c r="G30" s="37">
        <f>G29</f>
        <v>31649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'[26]Sheet1'!$N$33</f>
        <v>223594</v>
      </c>
      <c r="D35" s="21">
        <f>'[26]Sheet1'!$R$33</f>
        <v>276296</v>
      </c>
      <c r="E35" s="21">
        <f>D35-C35</f>
        <v>52702</v>
      </c>
      <c r="F35" s="21">
        <f>C35</f>
        <v>223594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828800.13</v>
      </c>
      <c r="D37" s="21">
        <f>766292.67+68467.95</f>
        <v>834760.62</v>
      </c>
      <c r="E37" s="21">
        <f>D37-C37</f>
        <v>5960.489999999991</v>
      </c>
      <c r="F37" s="21">
        <f>'[26]Sheet1'!$T$36</f>
        <v>1312244</v>
      </c>
      <c r="G37" s="21">
        <f>C37-F37</f>
        <v>-483443.87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1052394.13</v>
      </c>
      <c r="D39" s="37">
        <f>D35+D37</f>
        <v>1111056.62</v>
      </c>
      <c r="E39" s="37">
        <f>E35+E37</f>
        <v>58662.48999999999</v>
      </c>
      <c r="F39" s="37">
        <f>F35+F37</f>
        <v>1535838</v>
      </c>
      <c r="G39" s="37">
        <f>G35+G37</f>
        <v>-483443.87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266697.49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208035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58662.48999999999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-483443.87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-483443.87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31649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31649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1627.82+400+700+1800*2</f>
        <v>6327.82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-445467.05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-364570.43-236049.62</f>
        <v>-600620.05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-1046087.1000000001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121"/>
      <c r="C72" s="121"/>
      <c r="D72" s="121"/>
      <c r="E72" s="121"/>
      <c r="F72" s="121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121"/>
      <c r="D75" s="121"/>
      <c r="E75" s="121"/>
      <c r="F75" s="121"/>
    </row>
    <row r="76" spans="2:6" ht="14.25">
      <c r="B76" s="121"/>
      <c r="C76" s="121"/>
      <c r="D76" s="121"/>
      <c r="E76" s="121"/>
      <c r="F76" s="121"/>
    </row>
    <row r="77" spans="2:6" ht="14.25">
      <c r="B77" s="121"/>
      <c r="C77" s="121"/>
      <c r="D77" s="121"/>
      <c r="E77" s="121"/>
      <c r="F77" s="121"/>
    </row>
    <row r="78" spans="2:6" ht="14.25">
      <c r="B78" s="121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3:G13"/>
    <mergeCell ref="B35:B36"/>
    <mergeCell ref="C35:C36"/>
    <mergeCell ref="D35:D36"/>
    <mergeCell ref="E35:E36"/>
    <mergeCell ref="F35:F36"/>
    <mergeCell ref="G35:G36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22">
      <selection activeCell="J29" sqref="J29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146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'[27]Sheet1'!$N$15</f>
        <v>287362</v>
      </c>
      <c r="D10" s="21">
        <f>'[27]Sheet1'!$R$15</f>
        <v>316384</v>
      </c>
      <c r="E10" s="21">
        <f>D10-C10</f>
        <v>29022</v>
      </c>
      <c r="F10" s="21">
        <f>'[27]Sheet1'!$T$15</f>
        <v>287362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287362</v>
      </c>
      <c r="D13" s="27">
        <f>D10</f>
        <v>316384</v>
      </c>
      <c r="E13" s="27">
        <f>E10</f>
        <v>29022</v>
      </c>
      <c r="F13" s="27">
        <f>F10</f>
        <v>287362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'[27]Sheet1'!$N$18</f>
        <v>91265</v>
      </c>
      <c r="D16" s="31">
        <f>'[27]Sheet1'!$R$18</f>
        <v>100483</v>
      </c>
      <c r="E16" s="31">
        <f aca="true" t="shared" si="0" ref="E16:E22">D16-C16</f>
        <v>9218</v>
      </c>
      <c r="F16" s="31">
        <f>'[27]Sheet1'!$T$18</f>
        <v>91265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'[27]Sheet1'!$N$19</f>
        <v>6028</v>
      </c>
      <c r="D17" s="31">
        <f>'[27]Sheet1'!$R$19</f>
        <v>6637</v>
      </c>
      <c r="E17" s="31">
        <f t="shared" si="0"/>
        <v>609</v>
      </c>
      <c r="F17" s="31">
        <f>'[27]Sheet1'!$T$19</f>
        <v>6028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'[27]Sheet1'!$N$20</f>
        <v>25830</v>
      </c>
      <c r="D18" s="31">
        <f>'[27]Sheet1'!$R$20</f>
        <v>28439</v>
      </c>
      <c r="E18" s="31">
        <f t="shared" si="0"/>
        <v>2609</v>
      </c>
      <c r="F18" s="31">
        <f>'[27]Sheet1'!$T$20</f>
        <v>25830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f>'[27]Sheet1'!$N$25</f>
        <v>396400</v>
      </c>
      <c r="D19" s="31">
        <f>'[27]Sheet1'!$R$25</f>
        <v>436435</v>
      </c>
      <c r="E19" s="31">
        <f t="shared" si="0"/>
        <v>40035</v>
      </c>
      <c r="F19" s="31">
        <f>C19</f>
        <v>396400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f>'[27]Sheet1'!$N$24</f>
        <v>120539</v>
      </c>
      <c r="D20" s="31">
        <f>'[27]Sheet1'!$R$24</f>
        <v>132714</v>
      </c>
      <c r="E20" s="31">
        <f t="shared" si="0"/>
        <v>12175</v>
      </c>
      <c r="F20" s="31">
        <f>C20</f>
        <v>120539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'[27]Sheet1'!$N$26</f>
        <v>243106</v>
      </c>
      <c r="D21" s="31">
        <f>'[27]Sheet1'!$R$26</f>
        <v>267659</v>
      </c>
      <c r="E21" s="31">
        <f t="shared" si="0"/>
        <v>24553</v>
      </c>
      <c r="F21" s="31">
        <f>'[27]Sheet1'!$T$26</f>
        <v>243106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'[27]Sheet1'!$N$41+'[27]Sheet1'!$N$42</f>
        <v>28414</v>
      </c>
      <c r="D22" s="31">
        <f>'[27]Sheet1'!$R$41+'[27]Sheet1'!$R$42</f>
        <v>31284</v>
      </c>
      <c r="E22" s="31">
        <f t="shared" si="0"/>
        <v>2870</v>
      </c>
      <c r="F22" s="31">
        <f>'[27]Sheet1'!$T$41+'[27]Sheet1'!$T$42</f>
        <v>28414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911582</v>
      </c>
      <c r="D23" s="27">
        <f>SUM(D15:D22)</f>
        <v>1003651</v>
      </c>
      <c r="E23" s="27">
        <f>SUM(E15:E22)</f>
        <v>92069</v>
      </c>
      <c r="F23" s="27">
        <f>SUM(F15:F22)</f>
        <v>911582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1198944</v>
      </c>
      <c r="D24" s="27">
        <f>D13+D23</f>
        <v>1320035</v>
      </c>
      <c r="E24" s="27">
        <f>E13+E23</f>
        <v>121091</v>
      </c>
      <c r="F24" s="27">
        <f>F13+F23</f>
        <v>1198944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'[27]Sheet1'!$N$12</f>
        <v>550693</v>
      </c>
      <c r="D29" s="36">
        <f>'[27]Sheet1'!$R$12</f>
        <v>606311</v>
      </c>
      <c r="E29" s="36">
        <f>D29-C29</f>
        <v>55618</v>
      </c>
      <c r="F29" s="36">
        <v>689049</v>
      </c>
      <c r="G29" s="36">
        <f>C29-F29</f>
        <v>-138356</v>
      </c>
      <c r="H29" s="63"/>
      <c r="I29" s="62"/>
    </row>
    <row r="30" spans="2:9" ht="13.5" thickBot="1">
      <c r="B30" s="26" t="s">
        <v>28</v>
      </c>
      <c r="C30" s="37">
        <f>C29</f>
        <v>550693</v>
      </c>
      <c r="D30" s="37">
        <f>D29</f>
        <v>606311</v>
      </c>
      <c r="E30" s="37">
        <f>E29</f>
        <v>55618</v>
      </c>
      <c r="F30" s="37">
        <f>F29</f>
        <v>689049</v>
      </c>
      <c r="G30" s="37">
        <f>G29</f>
        <v>-138356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'[27]Sheet1'!$N$33</f>
        <v>533415</v>
      </c>
      <c r="D35" s="21">
        <f>'[27]Sheet1'!$R$33</f>
        <v>587288</v>
      </c>
      <c r="E35" s="21">
        <f>D35-C35</f>
        <v>53873</v>
      </c>
      <c r="F35" s="21">
        <f>C35</f>
        <v>533415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147</v>
      </c>
      <c r="C37" s="21">
        <v>2141993.1</v>
      </c>
      <c r="D37" s="126">
        <f>2077924.24+95109.5</f>
        <v>2173033.74</v>
      </c>
      <c r="E37" s="21">
        <f>D37-C37</f>
        <v>31040.64000000013</v>
      </c>
      <c r="F37" s="21">
        <f>'[27]Sheet1'!$T$36</f>
        <v>2724120</v>
      </c>
      <c r="G37" s="21">
        <f>C37-F37</f>
        <v>-582126.8999999999</v>
      </c>
      <c r="H37" s="62"/>
      <c r="I37" s="62"/>
    </row>
    <row r="38" spans="2:9" ht="20.25" customHeight="1" thickBot="1">
      <c r="B38" s="41"/>
      <c r="C38" s="42"/>
      <c r="D38" s="127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2675408.1</v>
      </c>
      <c r="D39" s="37">
        <f>D35+D37</f>
        <v>2760321.74</v>
      </c>
      <c r="E39" s="37">
        <f>E35+E37</f>
        <v>84913.64000000013</v>
      </c>
      <c r="F39" s="37">
        <f>F35+F37</f>
        <v>3257535</v>
      </c>
      <c r="G39" s="37">
        <f>G35+G37</f>
        <v>-582126.8999999999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261622.64000000013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176709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84913.64000000013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-720482.8999999999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-138356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-582126.8999999999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0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0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1627.82+400+700+1800*4</f>
        <v>9927.82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-710555.08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-88093.88-103386.67</f>
        <v>-191480.55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-902035.6299999999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28">
      <selection activeCell="C37" sqref="C37:C38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148</v>
      </c>
      <c r="E2" s="119"/>
      <c r="F2" s="119"/>
    </row>
    <row r="3" spans="2:6" ht="18.75">
      <c r="B3" s="119"/>
      <c r="D3" s="7" t="s">
        <v>2</v>
      </c>
      <c r="E3" s="119"/>
      <c r="F3" s="119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'[28]Sheet1'!$N$15</f>
        <v>241725</v>
      </c>
      <c r="D10" s="21">
        <f>'[28]Sheet1'!$R$15</f>
        <v>254077</v>
      </c>
      <c r="E10" s="21">
        <f>D10-C10</f>
        <v>12352</v>
      </c>
      <c r="F10" s="21">
        <f>'[28]Sheet1'!$T$15</f>
        <v>241725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241725</v>
      </c>
      <c r="D13" s="27">
        <f>D10</f>
        <v>254077</v>
      </c>
      <c r="E13" s="27">
        <f>E10</f>
        <v>12352</v>
      </c>
      <c r="F13" s="27">
        <f>F10</f>
        <v>241725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'[28]Sheet1'!$N$18</f>
        <v>94510</v>
      </c>
      <c r="D16" s="31">
        <f>'[28]Sheet1'!$R$18</f>
        <v>99339</v>
      </c>
      <c r="E16" s="31">
        <f aca="true" t="shared" si="0" ref="E16:E22">D16-C16</f>
        <v>4829</v>
      </c>
      <c r="F16" s="31">
        <f>'[28]Sheet1'!$T$18</f>
        <v>94510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'[28]Sheet1'!$N$19</f>
        <v>8161</v>
      </c>
      <c r="D17" s="31">
        <f>'[28]Sheet1'!$R$19</f>
        <v>8578</v>
      </c>
      <c r="E17" s="31">
        <f t="shared" si="0"/>
        <v>417</v>
      </c>
      <c r="F17" s="31">
        <f>'[28]Sheet1'!$T$19</f>
        <v>8161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'[28]Sheet1'!$N$20</f>
        <v>18163</v>
      </c>
      <c r="D18" s="31">
        <f>'[28]Sheet1'!$R$20</f>
        <v>19091</v>
      </c>
      <c r="E18" s="31">
        <f t="shared" si="0"/>
        <v>928</v>
      </c>
      <c r="F18" s="31">
        <f>'[28]Sheet1'!$T$20</f>
        <v>18163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'[28]Sheet1'!$N$26</f>
        <v>165684</v>
      </c>
      <c r="D21" s="31">
        <f>'[28]Sheet1'!$R$26</f>
        <v>174151</v>
      </c>
      <c r="E21" s="31">
        <f t="shared" si="0"/>
        <v>8467</v>
      </c>
      <c r="F21" s="31">
        <f>'[28]Sheet1'!$T$26</f>
        <v>165684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'[28]Sheet1'!$N$41+'[28]Sheet1'!$N$42</f>
        <v>29706</v>
      </c>
      <c r="D22" s="31">
        <f>'[28]Sheet1'!$R$41+'[28]Sheet1'!$R$42</f>
        <v>31224</v>
      </c>
      <c r="E22" s="31">
        <f t="shared" si="0"/>
        <v>1518</v>
      </c>
      <c r="F22" s="31">
        <f>'[28]Sheet1'!$T$41+'[28]Sheet1'!$T$42</f>
        <v>29706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316224</v>
      </c>
      <c r="D23" s="27">
        <f>SUM(D15:D22)</f>
        <v>332383</v>
      </c>
      <c r="E23" s="27">
        <f>SUM(E15:E22)</f>
        <v>16159</v>
      </c>
      <c r="F23" s="27">
        <f>SUM(F15:F22)</f>
        <v>316224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557949</v>
      </c>
      <c r="D24" s="27">
        <f>D13+D23</f>
        <v>586460</v>
      </c>
      <c r="E24" s="27">
        <f>E13+E23</f>
        <v>28511</v>
      </c>
      <c r="F24" s="27">
        <f>F13+F23</f>
        <v>557949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'[28]Sheet1'!$N$12</f>
        <v>716065</v>
      </c>
      <c r="D29" s="36">
        <f>'[28]Sheet1'!$R$12</f>
        <v>752655</v>
      </c>
      <c r="E29" s="36">
        <f>D29-C29</f>
        <v>36590</v>
      </c>
      <c r="F29" s="36">
        <f>'[28]Sheet1'!$U$12</f>
        <v>413914</v>
      </c>
      <c r="G29" s="36">
        <f>C29-F29</f>
        <v>302151</v>
      </c>
      <c r="H29" s="63"/>
      <c r="I29" s="62"/>
    </row>
    <row r="30" spans="2:9" ht="13.5" thickBot="1">
      <c r="B30" s="26" t="s">
        <v>28</v>
      </c>
      <c r="C30" s="37">
        <f>C29</f>
        <v>716065</v>
      </c>
      <c r="D30" s="37">
        <f>D29</f>
        <v>752655</v>
      </c>
      <c r="E30" s="37">
        <f>E29</f>
        <v>36590</v>
      </c>
      <c r="F30" s="37">
        <f>F29</f>
        <v>413914</v>
      </c>
      <c r="G30" s="37">
        <f>G29</f>
        <v>302151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'[28]Sheet1'!$N$33</f>
        <v>446241</v>
      </c>
      <c r="D35" s="21">
        <f>'[28]Sheet1'!$R$33</f>
        <v>469043</v>
      </c>
      <c r="E35" s="21">
        <f>D35-C35</f>
        <v>22802</v>
      </c>
      <c r="F35" s="21">
        <f>C35</f>
        <v>446241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2204592.95</v>
      </c>
      <c r="D37" s="21">
        <f>1933693.89+174949.63</f>
        <v>2108643.52</v>
      </c>
      <c r="E37" s="21">
        <f>D37-C37</f>
        <v>-95949.43000000017</v>
      </c>
      <c r="F37" s="21">
        <f>'[28]Sheet1'!$T$36</f>
        <v>2454589</v>
      </c>
      <c r="G37" s="21">
        <f>C37-F37</f>
        <v>-249996.0499999998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2650833.95</v>
      </c>
      <c r="D39" s="37">
        <f>D35+D37</f>
        <v>2577686.52</v>
      </c>
      <c r="E39" s="37">
        <f>E35+E37</f>
        <v>-73147.43000000017</v>
      </c>
      <c r="F39" s="37">
        <f>F35+F37</f>
        <v>2900830</v>
      </c>
      <c r="G39" s="37">
        <f>G35+G37</f>
        <v>-249996.0499999998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-8046.430000000168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65101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-73147.43000000017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-249996.0499999998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-249996.0499999998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302151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302151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54882.770000000186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-578834.77-365324.88</f>
        <v>-944159.65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-889276.8799999999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121"/>
      <c r="C72" s="121"/>
      <c r="D72" s="121"/>
      <c r="E72" s="121"/>
      <c r="F72" s="12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="33" customFormat="1" ht="12.75">
      <c r="C74" s="59" t="s">
        <v>54</v>
      </c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6" ht="15">
      <c r="B76" s="60"/>
      <c r="C76" s="121"/>
      <c r="D76" s="121"/>
      <c r="E76" s="121"/>
      <c r="F76" s="121"/>
    </row>
    <row r="77" spans="2:6" ht="14.25">
      <c r="B77" s="121"/>
      <c r="C77" s="121"/>
      <c r="D77" s="121"/>
      <c r="E77" s="121"/>
      <c r="F77" s="121"/>
    </row>
    <row r="78" spans="2:6" ht="14.25">
      <c r="B78" s="121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  <row r="83" spans="2:6" ht="14.25">
      <c r="B83" s="121"/>
      <c r="C83" s="121"/>
      <c r="D83" s="121"/>
      <c r="E83" s="121"/>
      <c r="F83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25">
      <selection activeCell="J29" sqref="J29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149</v>
      </c>
      <c r="E2" s="119"/>
      <c r="F2" s="119"/>
    </row>
    <row r="3" spans="2:6" ht="18.75">
      <c r="B3" s="119"/>
      <c r="D3" s="7" t="s">
        <v>2</v>
      </c>
      <c r="E3" s="119"/>
      <c r="F3" s="119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'[29]Sheet1'!$N$15</f>
        <v>244174</v>
      </c>
      <c r="D10" s="21">
        <f>'[29]Sheet1'!$R$15</f>
        <v>243570</v>
      </c>
      <c r="E10" s="21">
        <f>D10-C10</f>
        <v>-604</v>
      </c>
      <c r="F10" s="21">
        <f>'[29]Sheet1'!$T$15</f>
        <v>244174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244174</v>
      </c>
      <c r="D13" s="27">
        <f>D10</f>
        <v>243570</v>
      </c>
      <c r="E13" s="27">
        <f>E10</f>
        <v>-604</v>
      </c>
      <c r="F13" s="27">
        <f>F10</f>
        <v>244174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'[29]Sheet1'!$N$18</f>
        <v>98105</v>
      </c>
      <c r="D16" s="31">
        <f>'[29]Sheet1'!$R$18</f>
        <v>97862</v>
      </c>
      <c r="E16" s="31">
        <f aca="true" t="shared" si="0" ref="E16:E22">D16-C16</f>
        <v>-243</v>
      </c>
      <c r="F16" s="31">
        <f>'[29]Sheet1'!$T$18</f>
        <v>98105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'[29]Sheet1'!$N$19</f>
        <v>8478</v>
      </c>
      <c r="D17" s="31">
        <f>'[29]Sheet1'!$R$19</f>
        <v>8457</v>
      </c>
      <c r="E17" s="31">
        <f t="shared" si="0"/>
        <v>-21</v>
      </c>
      <c r="F17" s="31">
        <f>'[29]Sheet1'!$T$19</f>
        <v>8478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'[29]Sheet1'!$N$20</f>
        <v>18773</v>
      </c>
      <c r="D18" s="31">
        <f>'[29]Sheet1'!$R$20</f>
        <v>18726</v>
      </c>
      <c r="E18" s="31">
        <f t="shared" si="0"/>
        <v>-47</v>
      </c>
      <c r="F18" s="31">
        <f>'[29]Sheet1'!$T$20</f>
        <v>18773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'[29]Sheet1'!$N$26</f>
        <v>171381</v>
      </c>
      <c r="D21" s="31">
        <f>'[29]Sheet1'!$R$26</f>
        <v>170957</v>
      </c>
      <c r="E21" s="31">
        <f t="shared" si="0"/>
        <v>-424</v>
      </c>
      <c r="F21" s="31">
        <f>'[29]Sheet1'!$T$26</f>
        <v>171381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'[29]Sheet1'!$N$41+'[29]Sheet1'!$N$42</f>
        <v>30888</v>
      </c>
      <c r="D22" s="31">
        <f>'[29]Sheet1'!$R$41+'[29]Sheet1'!$R$42</f>
        <v>30811</v>
      </c>
      <c r="E22" s="31">
        <f t="shared" si="0"/>
        <v>-77</v>
      </c>
      <c r="F22" s="31">
        <f>'[29]Sheet1'!$T$41+'[29]Sheet1'!$T$42</f>
        <v>30888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327625</v>
      </c>
      <c r="D23" s="27">
        <f>SUM(D15:D22)</f>
        <v>326813</v>
      </c>
      <c r="E23" s="27">
        <f>SUM(E15:E22)</f>
        <v>-812</v>
      </c>
      <c r="F23" s="27">
        <f>SUM(F15:F22)</f>
        <v>327625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571799</v>
      </c>
      <c r="D24" s="27">
        <f>D13+D23</f>
        <v>570383</v>
      </c>
      <c r="E24" s="27">
        <f>E13+E23</f>
        <v>-1416</v>
      </c>
      <c r="F24" s="27">
        <f>F13+F23</f>
        <v>571799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'[29]Sheet1'!$N$12</f>
        <v>451629</v>
      </c>
      <c r="D29" s="36">
        <f>'[29]Sheet1'!$R$12</f>
        <v>450511</v>
      </c>
      <c r="E29" s="36">
        <f>D29-C29</f>
        <v>-1118</v>
      </c>
      <c r="F29" s="36">
        <v>196938</v>
      </c>
      <c r="G29" s="36">
        <f>C29-F29</f>
        <v>254691</v>
      </c>
      <c r="H29" s="63"/>
      <c r="I29" s="62"/>
    </row>
    <row r="30" spans="2:9" ht="13.5" thickBot="1">
      <c r="B30" s="26" t="s">
        <v>28</v>
      </c>
      <c r="C30" s="37">
        <f>C29</f>
        <v>451629</v>
      </c>
      <c r="D30" s="37">
        <f>D29</f>
        <v>450511</v>
      </c>
      <c r="E30" s="37">
        <f>E29</f>
        <v>-1118</v>
      </c>
      <c r="F30" s="37">
        <f>F29</f>
        <v>196938</v>
      </c>
      <c r="G30" s="37">
        <f>G29</f>
        <v>254691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'[29]Sheet1'!$N$33</f>
        <v>370815</v>
      </c>
      <c r="D35" s="21">
        <f>'[29]Sheet1'!$R$33</f>
        <v>369897</v>
      </c>
      <c r="E35" s="21">
        <f>D35-C35</f>
        <v>-918</v>
      </c>
      <c r="F35" s="21">
        <f>C35</f>
        <v>370815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2160737.82</f>
        <v>2160737.82</v>
      </c>
      <c r="D37" s="21">
        <f>1914765.36+76641.16</f>
        <v>1991406.52</v>
      </c>
      <c r="E37" s="21">
        <f>D37-C37</f>
        <v>-169331.2999999998</v>
      </c>
      <c r="F37" s="21">
        <f>'[29]Sheet1'!$T$36</f>
        <v>2135653</v>
      </c>
      <c r="G37" s="21">
        <f>C37-F37</f>
        <v>25084.819999999832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2531552.82</v>
      </c>
      <c r="D39" s="37">
        <f>D35+D37</f>
        <v>2361303.52</v>
      </c>
      <c r="E39" s="37">
        <f>E35+E37</f>
        <v>-170249.2999999998</v>
      </c>
      <c r="F39" s="37">
        <f>F35+F37</f>
        <v>2506468</v>
      </c>
      <c r="G39" s="37">
        <f>G35+G37</f>
        <v>25084.819999999832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-172783.2999999998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-2534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-170249.2999999998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0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0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279775.81999999983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254691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25084.819999999832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282503.63999999984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-337128.98-261107.2</f>
        <v>-598236.1799999999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-315732.5400000001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1:9" ht="12.75">
      <c r="A72" s="11"/>
      <c r="B72" s="38"/>
      <c r="C72" s="11"/>
      <c r="D72" s="11"/>
      <c r="E72" s="11"/>
      <c r="F72" s="47"/>
      <c r="G72" s="11"/>
      <c r="H72" s="11"/>
      <c r="I72" s="11"/>
    </row>
    <row r="73" spans="1:9" ht="12.75">
      <c r="A73" s="11"/>
      <c r="B73" s="38"/>
      <c r="C73" s="11"/>
      <c r="D73" s="11"/>
      <c r="E73" s="11"/>
      <c r="F73" s="47"/>
      <c r="G73" s="11"/>
      <c r="H73" s="11"/>
      <c r="I73" s="11"/>
    </row>
    <row r="74" s="33" customFormat="1" ht="12.75">
      <c r="C74" s="59" t="s">
        <v>54</v>
      </c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6" ht="15">
      <c r="B76" s="60"/>
      <c r="C76" s="121"/>
      <c r="D76" s="121"/>
      <c r="E76" s="121"/>
      <c r="F76" s="121"/>
    </row>
    <row r="77" spans="2:6" ht="14.25">
      <c r="B77" s="121"/>
      <c r="C77" s="121"/>
      <c r="D77" s="121"/>
      <c r="E77" s="121"/>
      <c r="F77" s="121"/>
    </row>
    <row r="78" spans="2:6" ht="14.25">
      <c r="B78" s="121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  <row r="83" spans="2:6" ht="14.25">
      <c r="B83" s="121"/>
      <c r="C83" s="121"/>
      <c r="D83" s="121"/>
      <c r="E83" s="121"/>
      <c r="F83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28">
      <selection activeCell="F66" sqref="F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150</v>
      </c>
      <c r="E2" s="119"/>
      <c r="F2" s="119"/>
    </row>
    <row r="3" spans="2:6" ht="18.75">
      <c r="B3" s="119"/>
      <c r="D3" s="7" t="s">
        <v>2</v>
      </c>
      <c r="E3" s="119"/>
      <c r="F3" s="119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'[30]Sheet1'!$N$15</f>
        <v>106763</v>
      </c>
      <c r="D10" s="21">
        <f>'[30]Sheet1'!$R$15</f>
        <v>113684</v>
      </c>
      <c r="E10" s="21">
        <f>D10-C10</f>
        <v>6921</v>
      </c>
      <c r="F10" s="21">
        <f>'[30]Sheet1'!$T$15</f>
        <v>106763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106763</v>
      </c>
      <c r="D13" s="27">
        <f>D10</f>
        <v>113684</v>
      </c>
      <c r="E13" s="27">
        <f>E10</f>
        <v>6921</v>
      </c>
      <c r="F13" s="27">
        <f>F10</f>
        <v>106763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'[30]Sheet1'!$N$18</f>
        <v>42022</v>
      </c>
      <c r="D16" s="31">
        <f>'[30]Sheet1'!$R$18</f>
        <v>44746</v>
      </c>
      <c r="E16" s="31">
        <f aca="true" t="shared" si="0" ref="E16:E22">D16-C16</f>
        <v>2724</v>
      </c>
      <c r="F16" s="31">
        <f>'[30]Sheet1'!$T$18</f>
        <v>42022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'[30]Sheet1'!$N$19</f>
        <v>3625</v>
      </c>
      <c r="D17" s="31">
        <f>'[30]Sheet1'!$R$19</f>
        <v>3860</v>
      </c>
      <c r="E17" s="31">
        <f t="shared" si="0"/>
        <v>235</v>
      </c>
      <c r="F17" s="31">
        <f>'[30]Sheet1'!$T$19</f>
        <v>3625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'[30]Sheet1'!$N$20</f>
        <v>8117</v>
      </c>
      <c r="D18" s="31">
        <f>'[30]Sheet1'!$R$20</f>
        <v>8643</v>
      </c>
      <c r="E18" s="31">
        <f t="shared" si="0"/>
        <v>526</v>
      </c>
      <c r="F18" s="31">
        <f>'[30]Sheet1'!$T$20</f>
        <v>8117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'[30]Sheet1'!$N$26</f>
        <v>73972</v>
      </c>
      <c r="D21" s="31">
        <f>'[30]Sheet1'!$R$26</f>
        <v>78766</v>
      </c>
      <c r="E21" s="31">
        <f t="shared" si="0"/>
        <v>4794</v>
      </c>
      <c r="F21" s="31">
        <f>'[30]Sheet1'!$T$26</f>
        <v>73972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'[30]Sheet1'!$N$41+'[30]Sheet1'!$N$42</f>
        <v>13182</v>
      </c>
      <c r="D22" s="31">
        <f>'[30]Sheet1'!$R$41+'[30]Sheet1'!$R$42</f>
        <v>14037</v>
      </c>
      <c r="E22" s="31">
        <f t="shared" si="0"/>
        <v>855</v>
      </c>
      <c r="F22" s="31">
        <f>'[30]Sheet1'!$T$41+'[30]Sheet1'!$T$42</f>
        <v>13182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140918</v>
      </c>
      <c r="D23" s="27">
        <f>SUM(D15:D22)</f>
        <v>150052</v>
      </c>
      <c r="E23" s="27">
        <f>SUM(E15:E22)</f>
        <v>9134</v>
      </c>
      <c r="F23" s="27">
        <f>SUM(F15:F22)</f>
        <v>140918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247681</v>
      </c>
      <c r="D24" s="27">
        <f>D13+D23</f>
        <v>263736</v>
      </c>
      <c r="E24" s="27">
        <f>E13+E23</f>
        <v>16055</v>
      </c>
      <c r="F24" s="27">
        <f>F13+F23</f>
        <v>247681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'[30]Sheet1'!$N$12</f>
        <v>194914</v>
      </c>
      <c r="D29" s="36">
        <f>'[30]Sheet1'!$R$12</f>
        <v>207548</v>
      </c>
      <c r="E29" s="36">
        <f>D29-C29</f>
        <v>12634</v>
      </c>
      <c r="F29" s="36">
        <f>'[30]Sheet1'!$U$12</f>
        <v>73205</v>
      </c>
      <c r="G29" s="36">
        <f>C29-F29</f>
        <v>121709</v>
      </c>
      <c r="H29" s="63"/>
      <c r="I29" s="62"/>
    </row>
    <row r="30" spans="2:9" ht="13.5" thickBot="1">
      <c r="B30" s="26" t="s">
        <v>28</v>
      </c>
      <c r="C30" s="37">
        <f>C29</f>
        <v>194914</v>
      </c>
      <c r="D30" s="37">
        <f>D29</f>
        <v>207548</v>
      </c>
      <c r="E30" s="37">
        <f>E29</f>
        <v>12634</v>
      </c>
      <c r="F30" s="37">
        <f>F29</f>
        <v>73205</v>
      </c>
      <c r="G30" s="37">
        <f>G29</f>
        <v>121709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'[30]Sheet1'!$N$33</f>
        <v>159634</v>
      </c>
      <c r="D35" s="21">
        <f>'[30]Sheet1'!$R$33</f>
        <v>169982</v>
      </c>
      <c r="E35" s="21">
        <f>D35-C35</f>
        <v>10348</v>
      </c>
      <c r="F35" s="21">
        <f>C35</f>
        <v>159634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971821.27</v>
      </c>
      <c r="D37" s="21">
        <f>898720.98+24964.49</f>
        <v>923685.47</v>
      </c>
      <c r="E37" s="21">
        <f>D37-C37</f>
        <v>-48135.80000000005</v>
      </c>
      <c r="F37" s="21">
        <f>'[30]Sheet1'!$T$36</f>
        <v>1001582</v>
      </c>
      <c r="G37" s="21">
        <f>C37-F37</f>
        <v>-29760.72999999998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1131455.27</v>
      </c>
      <c r="D39" s="37">
        <f>D35+D37</f>
        <v>1093667.47</v>
      </c>
      <c r="E39" s="37">
        <f>E35+E37</f>
        <v>-37787.80000000005</v>
      </c>
      <c r="F39" s="37">
        <f>F35+F37</f>
        <v>1161216</v>
      </c>
      <c r="G39" s="37">
        <f>G35+G37</f>
        <v>-29760.72999999998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-9098.800000000047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28689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-37787.80000000005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-29760.72999999998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-29760.72999999998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121709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121709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61</v>
      </c>
      <c r="C61" s="11"/>
      <c r="D61" s="11"/>
      <c r="E61" s="11"/>
      <c r="F61" s="56">
        <f>G47+G52+G58</f>
        <v>94676.09000000003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-252989.71-104489.19</f>
        <v>-357478.9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11"/>
      <c r="D68" s="11"/>
      <c r="E68" s="11"/>
      <c r="F68" s="11"/>
      <c r="G68" s="11"/>
      <c r="H68" s="11"/>
      <c r="I68" s="11"/>
    </row>
    <row r="69" spans="1:9" ht="12" customHeight="1">
      <c r="A69" s="11"/>
      <c r="B69" s="58" t="s">
        <v>53</v>
      </c>
      <c r="C69" s="58"/>
      <c r="D69" s="58"/>
      <c r="E69" s="11"/>
      <c r="F69" s="56">
        <f>F61+F65</f>
        <v>-262802.81</v>
      </c>
      <c r="G69" s="56" t="s">
        <v>47</v>
      </c>
      <c r="H69" s="11"/>
      <c r="I69" s="11"/>
    </row>
    <row r="70" spans="1:9" ht="12" customHeight="1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" customHeight="1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ht="12" customHeight="1"/>
    <row r="73" spans="2:9" ht="12.75">
      <c r="B73" s="33"/>
      <c r="C73" s="62"/>
      <c r="D73" s="62"/>
      <c r="E73" s="62"/>
      <c r="F73" s="62"/>
      <c r="G73" s="62"/>
      <c r="H73" s="62"/>
      <c r="I73" s="62"/>
    </row>
    <row r="74" spans="1:3" s="33" customFormat="1" ht="12.75">
      <c r="A74" s="51"/>
      <c r="C74" s="59" t="s">
        <v>151</v>
      </c>
    </row>
    <row r="75" spans="2:6" ht="15" customHeight="1">
      <c r="B75" s="60"/>
      <c r="C75" s="121"/>
      <c r="D75" s="121"/>
      <c r="E75" s="121"/>
      <c r="F75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28">
      <selection activeCell="K33" sqref="K33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152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'[31]Sheet1'!$N$15</f>
        <v>242962</v>
      </c>
      <c r="D10" s="21">
        <f>'[31]Sheet1'!$R$15</f>
        <v>270201</v>
      </c>
      <c r="E10" s="21">
        <f>D10-C10</f>
        <v>27239</v>
      </c>
      <c r="F10" s="21">
        <f>'[31]Sheet1'!$T$15</f>
        <v>242962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242962</v>
      </c>
      <c r="D13" s="27">
        <f>D10</f>
        <v>270201</v>
      </c>
      <c r="E13" s="27">
        <f>E10</f>
        <v>27239</v>
      </c>
      <c r="F13" s="27">
        <f>F10</f>
        <v>242962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'[31]Sheet1'!$N$18</f>
        <v>96680</v>
      </c>
      <c r="D16" s="31">
        <f>'[31]Sheet1'!$R$18</f>
        <v>107519</v>
      </c>
      <c r="E16" s="31">
        <f aca="true" t="shared" si="0" ref="E16:E22">D16-C16</f>
        <v>10839</v>
      </c>
      <c r="F16" s="31">
        <f>'[31]Sheet1'!$T$18</f>
        <v>96680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'[31]Sheet1'!$N$19</f>
        <v>8348</v>
      </c>
      <c r="D17" s="31">
        <f>'[31]Sheet1'!$R$19</f>
        <v>9284</v>
      </c>
      <c r="E17" s="31">
        <f t="shared" si="0"/>
        <v>936</v>
      </c>
      <c r="F17" s="31">
        <f>'[31]Sheet1'!$T$19</f>
        <v>8348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'[31]Sheet1'!$N$20</f>
        <v>18572</v>
      </c>
      <c r="D18" s="31">
        <f>'[31]Sheet1'!$R$20</f>
        <v>20654</v>
      </c>
      <c r="E18" s="31">
        <f t="shared" si="0"/>
        <v>2082</v>
      </c>
      <c r="F18" s="31">
        <f>'[31]Sheet1'!$T$20</f>
        <v>18572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'[31]Sheet1'!$N$26</f>
        <v>169559</v>
      </c>
      <c r="D21" s="31">
        <f>'[31]Sheet1'!$R$26</f>
        <v>188568</v>
      </c>
      <c r="E21" s="31">
        <f t="shared" si="0"/>
        <v>19009</v>
      </c>
      <c r="F21" s="31">
        <f>'[31]Sheet1'!$T$26</f>
        <v>169559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'[31]Sheet1'!$N$41+'[31]Sheet1'!$N$42</f>
        <v>30394</v>
      </c>
      <c r="D22" s="31">
        <f>'[31]Sheet1'!$R$41+'[31]Sheet1'!$R$42</f>
        <v>33801</v>
      </c>
      <c r="E22" s="31">
        <f t="shared" si="0"/>
        <v>3407</v>
      </c>
      <c r="F22" s="31">
        <f>'[31]Sheet1'!$T$41+'[31]Sheet1'!$T$42</f>
        <v>30394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323553</v>
      </c>
      <c r="D23" s="27">
        <f>SUM(D15:D22)</f>
        <v>359826</v>
      </c>
      <c r="E23" s="27">
        <f>SUM(E15:E22)</f>
        <v>36273</v>
      </c>
      <c r="F23" s="27">
        <f>SUM(F15:F22)</f>
        <v>323553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566515</v>
      </c>
      <c r="D24" s="27">
        <f>D13+D23</f>
        <v>630027</v>
      </c>
      <c r="E24" s="27">
        <f>E13+E23</f>
        <v>63512</v>
      </c>
      <c r="F24" s="27">
        <f>F13+F23</f>
        <v>566515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'[31]Sheet1'!$N$12</f>
        <v>446760</v>
      </c>
      <c r="D29" s="36">
        <f>'[31]Sheet1'!$R$12</f>
        <v>496846</v>
      </c>
      <c r="E29" s="36">
        <f>D29-C29</f>
        <v>50086</v>
      </c>
      <c r="F29" s="36">
        <v>285306</v>
      </c>
      <c r="G29" s="36">
        <f>C29-F29</f>
        <v>161454</v>
      </c>
      <c r="H29" s="63"/>
      <c r="I29" s="62"/>
    </row>
    <row r="30" spans="2:9" ht="13.5" thickBot="1">
      <c r="B30" s="26" t="s">
        <v>28</v>
      </c>
      <c r="C30" s="37">
        <f>C29</f>
        <v>446760</v>
      </c>
      <c r="D30" s="37">
        <f>D29</f>
        <v>496846</v>
      </c>
      <c r="E30" s="37">
        <f>E29</f>
        <v>50086</v>
      </c>
      <c r="F30" s="37">
        <f>F29</f>
        <v>285306</v>
      </c>
      <c r="G30" s="37">
        <f>G29</f>
        <v>161454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'[31]Sheet1'!$N$33</f>
        <v>444017</v>
      </c>
      <c r="D35" s="21">
        <f>'[31]Sheet1'!$R$33</f>
        <v>493795</v>
      </c>
      <c r="E35" s="21">
        <f>D35-C35</f>
        <v>49778</v>
      </c>
      <c r="F35" s="21">
        <f>C35</f>
        <v>444017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2135730.26</v>
      </c>
      <c r="D37" s="21">
        <f>1983933.3+117943.77</f>
        <v>2101877.07</v>
      </c>
      <c r="E37" s="21">
        <f>D37-C37</f>
        <v>-33853.189999999944</v>
      </c>
      <c r="F37" s="21">
        <f>'[31]Sheet1'!$T$36</f>
        <v>2282972</v>
      </c>
      <c r="G37" s="21">
        <f>C37-F37</f>
        <v>-147241.74000000022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2579747.26</v>
      </c>
      <c r="D39" s="37">
        <f>D35+D37</f>
        <v>2595672.07</v>
      </c>
      <c r="E39" s="37">
        <f>E35+E37</f>
        <v>15924.810000000056</v>
      </c>
      <c r="F39" s="37">
        <f>F35+F37</f>
        <v>2726989</v>
      </c>
      <c r="G39" s="37">
        <f>G35+G37</f>
        <v>-147241.74000000022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129522.81000000006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113598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15924.810000000056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-147241.74000000022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-147241.74000000022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161454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161454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16940.079999999776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-354239.68-171968.79</f>
        <v>-526208.47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-509268.3900000002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s="33" customFormat="1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5">
      <c r="B72" s="60"/>
      <c r="C72" s="61"/>
      <c r="D72" s="61"/>
      <c r="E72" s="61"/>
      <c r="F72" s="61"/>
    </row>
    <row r="73" spans="2:6" ht="14.25">
      <c r="B73" s="61"/>
      <c r="C73" s="61"/>
      <c r="D73" s="61"/>
      <c r="E73" s="61"/>
      <c r="F73" s="61"/>
    </row>
    <row r="74" spans="1:9" ht="12.75">
      <c r="A74" s="33"/>
      <c r="B74" s="33"/>
      <c r="C74" s="59" t="s">
        <v>54</v>
      </c>
      <c r="D74" s="33"/>
      <c r="E74" s="33"/>
      <c r="F74" s="33"/>
      <c r="G74" s="33"/>
      <c r="H74" s="33"/>
      <c r="I74" s="33"/>
    </row>
    <row r="75" spans="2:6" ht="14.25">
      <c r="B75" s="61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28">
      <selection activeCell="M33" sqref="M33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153</v>
      </c>
      <c r="E2" s="119"/>
      <c r="F2" s="119"/>
    </row>
    <row r="3" spans="2:6" ht="18.75">
      <c r="B3" s="119"/>
      <c r="D3" s="7" t="s">
        <v>2</v>
      </c>
      <c r="E3" s="119"/>
      <c r="F3" s="119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'[32]Sheet1'!$N$15</f>
        <v>105782</v>
      </c>
      <c r="D10" s="21">
        <f>'[32]Sheet1'!$R$15</f>
        <v>111117</v>
      </c>
      <c r="E10" s="21">
        <f>D10-C10</f>
        <v>5335</v>
      </c>
      <c r="F10" s="21">
        <f>'[32]Sheet1'!$T$15</f>
        <v>105782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105782</v>
      </c>
      <c r="D13" s="27">
        <f>D10</f>
        <v>111117</v>
      </c>
      <c r="E13" s="27">
        <f>E10</f>
        <v>5335</v>
      </c>
      <c r="F13" s="27">
        <f>F10</f>
        <v>105782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'[32]Sheet1'!$N$18</f>
        <v>43469</v>
      </c>
      <c r="D16" s="31">
        <f>'[32]Sheet1'!$R$18</f>
        <v>45662</v>
      </c>
      <c r="E16" s="31">
        <f aca="true" t="shared" si="0" ref="E16:E22">D16-C16</f>
        <v>2193</v>
      </c>
      <c r="F16" s="31">
        <f>'[32]Sheet1'!$T$18</f>
        <v>43469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'[32]Sheet1'!$N$19</f>
        <v>3757</v>
      </c>
      <c r="D17" s="31">
        <f>'[32]Sheet1'!$R$19</f>
        <v>3946</v>
      </c>
      <c r="E17" s="31">
        <f t="shared" si="0"/>
        <v>189</v>
      </c>
      <c r="F17" s="31">
        <f>'[32]Sheet1'!$T$19</f>
        <v>3757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'[32]Sheet1'!$N$20</f>
        <v>8318</v>
      </c>
      <c r="D18" s="31">
        <f>'[32]Sheet1'!$R$20</f>
        <v>8737</v>
      </c>
      <c r="E18" s="31">
        <f t="shared" si="0"/>
        <v>419</v>
      </c>
      <c r="F18" s="31">
        <f>'[32]Sheet1'!$T$20</f>
        <v>8318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'[32]Sheet1'!$N$26</f>
        <v>75937</v>
      </c>
      <c r="D21" s="31">
        <f>'[32]Sheet1'!$R$26</f>
        <v>79766</v>
      </c>
      <c r="E21" s="31">
        <f t="shared" si="0"/>
        <v>3829</v>
      </c>
      <c r="F21" s="31">
        <f>'[32]Sheet1'!$T$26</f>
        <v>75937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'[32]Sheet1'!$N$41+'[32]Sheet1'!$N$42</f>
        <v>13687</v>
      </c>
      <c r="D22" s="31">
        <f>'[32]Sheet1'!$R$41+'[32]Sheet1'!$R$42</f>
        <v>14376</v>
      </c>
      <c r="E22" s="31">
        <f t="shared" si="0"/>
        <v>689</v>
      </c>
      <c r="F22" s="31">
        <f>'[32]Sheet1'!$T$41+'[32]Sheet1'!$T$42</f>
        <v>13687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145168</v>
      </c>
      <c r="D23" s="27">
        <f>SUM(D15:D22)</f>
        <v>152487</v>
      </c>
      <c r="E23" s="27">
        <f>SUM(E15:E22)</f>
        <v>7319</v>
      </c>
      <c r="F23" s="27">
        <f>SUM(F15:F22)</f>
        <v>145168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250950</v>
      </c>
      <c r="D24" s="27">
        <f>D13+D23</f>
        <v>263604</v>
      </c>
      <c r="E24" s="27">
        <f>E13+E23</f>
        <v>12654</v>
      </c>
      <c r="F24" s="27">
        <f>F13+F23</f>
        <v>250950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'[32]Sheet1'!$N$12</f>
        <v>198780</v>
      </c>
      <c r="D29" s="36">
        <f>'[32]Sheet1'!$R$12</f>
        <v>208805</v>
      </c>
      <c r="E29" s="36">
        <f>D29-C29</f>
        <v>10025</v>
      </c>
      <c r="F29" s="36">
        <v>264325</v>
      </c>
      <c r="G29" s="36">
        <f>C29-F29</f>
        <v>-65545</v>
      </c>
      <c r="H29" s="63"/>
      <c r="I29" s="62"/>
    </row>
    <row r="30" spans="2:9" ht="13.5" thickBot="1">
      <c r="B30" s="26" t="s">
        <v>28</v>
      </c>
      <c r="C30" s="37">
        <f>C29</f>
        <v>198780</v>
      </c>
      <c r="D30" s="37">
        <f>D29</f>
        <v>208805</v>
      </c>
      <c r="E30" s="37">
        <f>E29</f>
        <v>10025</v>
      </c>
      <c r="F30" s="37">
        <f>F29</f>
        <v>264325</v>
      </c>
      <c r="G30" s="37">
        <f>G29</f>
        <v>-65545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'[32]Sheet1'!$N$33</f>
        <v>144845</v>
      </c>
      <c r="D35" s="21">
        <f>'[32]Sheet1'!$R$33</f>
        <v>152150</v>
      </c>
      <c r="E35" s="21">
        <f>D35-C35</f>
        <v>7305</v>
      </c>
      <c r="F35" s="21">
        <f>C35</f>
        <v>144845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1003907.45</v>
      </c>
      <c r="D37" s="21">
        <f>926311.16+39253.59</f>
        <v>965564.75</v>
      </c>
      <c r="E37" s="21">
        <f>D37-C37</f>
        <v>-38342.69999999995</v>
      </c>
      <c r="F37" s="21">
        <f>'[32]Sheet1'!$T$36</f>
        <v>992719</v>
      </c>
      <c r="G37" s="21">
        <f>C37-F37</f>
        <v>11188.449999999953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1148752.45</v>
      </c>
      <c r="D39" s="37">
        <f>D35+D37</f>
        <v>1117714.75</v>
      </c>
      <c r="E39" s="37">
        <f>E35+E37</f>
        <v>-31037.699999999953</v>
      </c>
      <c r="F39" s="37">
        <f>F35+F37</f>
        <v>1137564</v>
      </c>
      <c r="G39" s="37">
        <f>G35+G37</f>
        <v>11188.449999999953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69</v>
      </c>
      <c r="C42" s="62"/>
      <c r="D42" s="62"/>
      <c r="E42" s="62"/>
      <c r="F42" s="62"/>
      <c r="G42" s="44">
        <f>F44+F45</f>
        <v>-8358.699999999953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22679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-31037.699999999953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-65545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-65545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0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11188.449999999953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0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11188.449999999953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-51628.73000000005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-72735.08-62374.36</f>
        <v>-135109.44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-186738.17000000004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121"/>
      <c r="C72" s="121"/>
      <c r="D72" s="121"/>
      <c r="E72" s="121"/>
      <c r="F72" s="12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pans="1:9" ht="12.75">
      <c r="A74" s="33"/>
      <c r="B74" s="33"/>
      <c r="C74" s="59" t="s">
        <v>54</v>
      </c>
      <c r="D74" s="33"/>
      <c r="E74" s="33"/>
      <c r="F74" s="33"/>
      <c r="G74" s="33"/>
      <c r="H74" s="33"/>
      <c r="I74" s="33"/>
    </row>
    <row r="75" spans="1:9" s="33" customFormat="1" ht="14.25">
      <c r="A75" s="11"/>
      <c r="B75" s="61"/>
      <c r="C75" s="61"/>
      <c r="D75" s="61"/>
      <c r="E75" s="61"/>
      <c r="F75" s="61"/>
      <c r="G75" s="11"/>
      <c r="H75" s="11"/>
      <c r="I75" s="11"/>
    </row>
    <row r="76" spans="1:9" ht="14.25">
      <c r="A76" s="11"/>
      <c r="B76" s="61"/>
      <c r="C76" s="61"/>
      <c r="D76" s="61"/>
      <c r="E76" s="61"/>
      <c r="F76" s="61"/>
      <c r="G76" s="11"/>
      <c r="H76" s="11"/>
      <c r="I76" s="11"/>
    </row>
    <row r="77" spans="1:9" ht="14.25">
      <c r="A77" s="11"/>
      <c r="B77" s="61"/>
      <c r="C77" s="61"/>
      <c r="D77" s="61"/>
      <c r="E77" s="61"/>
      <c r="F77" s="61"/>
      <c r="G77" s="11"/>
      <c r="H77" s="11"/>
      <c r="I77" s="11"/>
    </row>
    <row r="78" spans="1:9" ht="14.25">
      <c r="A78" s="11"/>
      <c r="B78" s="61"/>
      <c r="C78" s="61"/>
      <c r="D78" s="61"/>
      <c r="E78" s="61"/>
      <c r="F78" s="61"/>
      <c r="G78" s="11"/>
      <c r="H78" s="11"/>
      <c r="I78" s="1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  <row r="83" spans="2:6" ht="14.25">
      <c r="B83" s="121"/>
      <c r="C83" s="121"/>
      <c r="D83" s="121"/>
      <c r="E83" s="121"/>
      <c r="F83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28">
      <selection activeCell="J33" sqref="J33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154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'[33]Sheet1'!$N$15</f>
        <v>264666</v>
      </c>
      <c r="D10" s="21">
        <f>'[33]Sheet1'!$R$15</f>
        <v>285115</v>
      </c>
      <c r="E10" s="21">
        <f>D10-C10</f>
        <v>20449</v>
      </c>
      <c r="F10" s="21">
        <f>'[33]Sheet1'!$T$15</f>
        <v>264666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264666</v>
      </c>
      <c r="D13" s="27">
        <f>D10</f>
        <v>285115</v>
      </c>
      <c r="E13" s="27">
        <f>E10</f>
        <v>20449</v>
      </c>
      <c r="F13" s="27">
        <f>F10</f>
        <v>264666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'[33]Sheet1'!$N$18</f>
        <v>95022</v>
      </c>
      <c r="D16" s="31">
        <f>'[33]Sheet1'!$R$18</f>
        <v>102363</v>
      </c>
      <c r="E16" s="31">
        <f aca="true" t="shared" si="0" ref="E16:E22">D16-C16</f>
        <v>7341</v>
      </c>
      <c r="F16" s="31">
        <f>'[33]Sheet1'!$T$18</f>
        <v>95022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'[33]Sheet1'!$N$19</f>
        <v>8184</v>
      </c>
      <c r="D17" s="31">
        <f>'[33]Sheet1'!$R$19</f>
        <v>8817</v>
      </c>
      <c r="E17" s="31">
        <f t="shared" si="0"/>
        <v>633</v>
      </c>
      <c r="F17" s="31">
        <f>'[33]Sheet1'!$T$19</f>
        <v>8184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'[33]Sheet1'!$N$20</f>
        <v>18497</v>
      </c>
      <c r="D18" s="31">
        <f>'[33]Sheet1'!$R$20</f>
        <v>19926</v>
      </c>
      <c r="E18" s="31">
        <f t="shared" si="0"/>
        <v>1429</v>
      </c>
      <c r="F18" s="31">
        <f>'[33]Sheet1'!$T$20</f>
        <v>18497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'[33]Sheet1'!$N$26</f>
        <v>168353</v>
      </c>
      <c r="D21" s="31">
        <f>'[33]Sheet1'!$R$26</f>
        <v>181361</v>
      </c>
      <c r="E21" s="31">
        <f t="shared" si="0"/>
        <v>13008</v>
      </c>
      <c r="F21" s="31">
        <f>'[33]Sheet1'!$T$26</f>
        <v>168353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'[33]Sheet1'!$N$41+'[33]Sheet1'!$N$42</f>
        <v>29714</v>
      </c>
      <c r="D22" s="31">
        <f>'[33]Sheet1'!$R$41+'[33]Sheet1'!$R$42</f>
        <v>32010</v>
      </c>
      <c r="E22" s="31">
        <f t="shared" si="0"/>
        <v>2296</v>
      </c>
      <c r="F22" s="31">
        <f>'[33]Sheet1'!$T$41+'[33]Sheet1'!$T$42</f>
        <v>29714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319770</v>
      </c>
      <c r="D23" s="27">
        <f>SUM(D15:D22)</f>
        <v>344477</v>
      </c>
      <c r="E23" s="27">
        <f>SUM(E15:E22)</f>
        <v>24707</v>
      </c>
      <c r="F23" s="27">
        <f>SUM(F15:F22)</f>
        <v>319770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584436</v>
      </c>
      <c r="D24" s="27">
        <f>D13+D23</f>
        <v>629592</v>
      </c>
      <c r="E24" s="27">
        <f>E13+E23</f>
        <v>45156</v>
      </c>
      <c r="F24" s="27">
        <f>F13+F23</f>
        <v>584436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'[33]Sheet1'!$N$12</f>
        <v>455252</v>
      </c>
      <c r="D29" s="36">
        <f>'[33]Sheet1'!$R$12</f>
        <v>490425</v>
      </c>
      <c r="E29" s="36">
        <f>D29-C29</f>
        <v>35173</v>
      </c>
      <c r="F29" s="36">
        <v>465264</v>
      </c>
      <c r="G29" s="36">
        <f>C29-F29</f>
        <v>-10012</v>
      </c>
      <c r="H29" s="63"/>
      <c r="I29" s="62"/>
    </row>
    <row r="30" spans="2:9" ht="13.5" thickBot="1">
      <c r="B30" s="26" t="s">
        <v>28</v>
      </c>
      <c r="C30" s="37">
        <f>C29</f>
        <v>455252</v>
      </c>
      <c r="D30" s="37">
        <f>D29</f>
        <v>490425</v>
      </c>
      <c r="E30" s="37">
        <f>E29</f>
        <v>35173</v>
      </c>
      <c r="F30" s="37">
        <f>F29</f>
        <v>465264</v>
      </c>
      <c r="G30" s="37">
        <f>G29</f>
        <v>-10012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'[33]Sheet1'!$N$33</f>
        <v>402581</v>
      </c>
      <c r="D35" s="21">
        <f>'[33]Sheet1'!$R$33</f>
        <v>433685</v>
      </c>
      <c r="E35" s="21">
        <f>D35-C35</f>
        <v>31104</v>
      </c>
      <c r="F35" s="21">
        <f>C35</f>
        <v>402581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2144553.27</f>
        <v>2144553.27</v>
      </c>
      <c r="D37" s="21">
        <f>1895939.8+188071.11</f>
        <v>2084010.9100000001</v>
      </c>
      <c r="E37" s="21">
        <f>D37-C37</f>
        <v>-60542.35999999987</v>
      </c>
      <c r="F37" s="21">
        <f>'[33]Sheet1'!$T$36</f>
        <v>2245243</v>
      </c>
      <c r="G37" s="21">
        <f>C37-F37</f>
        <v>-100689.72999999998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2547134.27</v>
      </c>
      <c r="D39" s="37">
        <f>D35+D37</f>
        <v>2517695.91</v>
      </c>
      <c r="E39" s="37">
        <f>E35+E37</f>
        <v>-29438.35999999987</v>
      </c>
      <c r="F39" s="37">
        <f>F35+F37</f>
        <v>2647824</v>
      </c>
      <c r="G39" s="37">
        <f>G35+G37</f>
        <v>-100689.72999999998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69</v>
      </c>
      <c r="C42" s="62"/>
      <c r="D42" s="62"/>
      <c r="E42" s="62"/>
      <c r="F42" s="62"/>
      <c r="G42" s="44">
        <f>F44+F45</f>
        <v>50890.64000000013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80329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-29438.35999999987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-110701.72999999998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-10012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-100689.72999999998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0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0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-107973.90999999997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-321366.55-262191.19</f>
        <v>-583557.74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-691531.6499999999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="33" customFormat="1" ht="12.75">
      <c r="C73" s="59" t="s">
        <v>54</v>
      </c>
    </row>
    <row r="74" spans="2:6" ht="15">
      <c r="B74" s="60"/>
      <c r="C74" s="61"/>
      <c r="D74" s="61"/>
      <c r="E74" s="61"/>
      <c r="F74" s="61"/>
    </row>
    <row r="75" spans="2:6" ht="14.25">
      <c r="B75" s="61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28">
      <selection activeCell="F66" sqref="F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155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'[34]Sheet1'!$N$15</f>
        <v>104963</v>
      </c>
      <c r="D10" s="21">
        <f>'[34]Sheet1'!$R$15</f>
        <v>106321</v>
      </c>
      <c r="E10" s="21">
        <f>D10-C10</f>
        <v>1358</v>
      </c>
      <c r="F10" s="21">
        <f>'[34]Sheet1'!$T$15</f>
        <v>104963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104963</v>
      </c>
      <c r="D13" s="27">
        <f>D10</f>
        <v>106321</v>
      </c>
      <c r="E13" s="27">
        <f>E10</f>
        <v>1358</v>
      </c>
      <c r="F13" s="27">
        <f>F10</f>
        <v>104963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'[34]Sheet1'!$N$18</f>
        <v>45667</v>
      </c>
      <c r="D16" s="31">
        <f>'[34]Sheet1'!$R$18</f>
        <v>46258</v>
      </c>
      <c r="E16" s="31">
        <f aca="true" t="shared" si="0" ref="E16:E22">D16-C16</f>
        <v>591</v>
      </c>
      <c r="F16" s="31">
        <f>'[34]Sheet1'!$T$18</f>
        <v>45667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'[34]Sheet1'!$N$19</f>
        <v>3940</v>
      </c>
      <c r="D17" s="31">
        <f>'[34]Sheet1'!$R$19</f>
        <v>3991</v>
      </c>
      <c r="E17" s="31">
        <f t="shared" si="0"/>
        <v>51</v>
      </c>
      <c r="F17" s="31">
        <f>'[34]Sheet1'!$T$19</f>
        <v>3940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'[34]Sheet1'!$N$20</f>
        <v>8816</v>
      </c>
      <c r="D18" s="31">
        <f>'[34]Sheet1'!$R$20</f>
        <v>8930</v>
      </c>
      <c r="E18" s="31">
        <f t="shared" si="0"/>
        <v>114</v>
      </c>
      <c r="F18" s="31">
        <f>'[34]Sheet1'!$T$20</f>
        <v>8816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'[34]Sheet1'!$N$26</f>
        <v>80360</v>
      </c>
      <c r="D21" s="31">
        <f>'[34]Sheet1'!$R$26</f>
        <v>81400</v>
      </c>
      <c r="E21" s="31">
        <f t="shared" si="0"/>
        <v>1040</v>
      </c>
      <c r="F21" s="31">
        <f>'[34]Sheet1'!$T$26</f>
        <v>80360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'[34]Sheet1'!$N$41+'[34]Sheet1'!$N$42</f>
        <v>14328</v>
      </c>
      <c r="D22" s="31">
        <f>'[34]Sheet1'!$R$41+'[34]Sheet1'!$R$42</f>
        <v>14512</v>
      </c>
      <c r="E22" s="31">
        <f t="shared" si="0"/>
        <v>184</v>
      </c>
      <c r="F22" s="31">
        <f>'[34]Sheet1'!$T$41+'[34]Sheet1'!$T$42</f>
        <v>14328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153111</v>
      </c>
      <c r="D23" s="27">
        <f>SUM(D15:D22)</f>
        <v>155091</v>
      </c>
      <c r="E23" s="27">
        <f>SUM(E15:E22)</f>
        <v>1980</v>
      </c>
      <c r="F23" s="27">
        <f>SUM(F15:F22)</f>
        <v>153111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258074</v>
      </c>
      <c r="D24" s="27">
        <f>D13+D23</f>
        <v>261412</v>
      </c>
      <c r="E24" s="27">
        <f>E13+E23</f>
        <v>3338</v>
      </c>
      <c r="F24" s="27">
        <f>F13+F23</f>
        <v>258074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'[34]Sheet1'!$N$12</f>
        <v>205436</v>
      </c>
      <c r="D29" s="36">
        <f>'[34]Sheet1'!$R$12</f>
        <v>208095</v>
      </c>
      <c r="E29" s="36">
        <f>D29-C29</f>
        <v>2659</v>
      </c>
      <c r="F29" s="36">
        <f>'[34]Sheet1'!$U$12</f>
        <v>149838</v>
      </c>
      <c r="G29" s="36">
        <f>C29-F29</f>
        <v>55598</v>
      </c>
      <c r="H29" s="63"/>
      <c r="I29" s="62"/>
    </row>
    <row r="30" spans="2:9" ht="13.5" thickBot="1">
      <c r="B30" s="26" t="s">
        <v>28</v>
      </c>
      <c r="C30" s="37">
        <f>C29</f>
        <v>205436</v>
      </c>
      <c r="D30" s="37">
        <f>D29</f>
        <v>208095</v>
      </c>
      <c r="E30" s="37">
        <f>E29</f>
        <v>2659</v>
      </c>
      <c r="F30" s="37">
        <f>F29</f>
        <v>149838</v>
      </c>
      <c r="G30" s="37">
        <f>G29</f>
        <v>55598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'[34]Sheet1'!$N$33</f>
        <v>229323</v>
      </c>
      <c r="D35" s="21">
        <f>'[34]Sheet1'!$R$33</f>
        <v>232290</v>
      </c>
      <c r="E35" s="21">
        <f>D35-C35</f>
        <v>2967</v>
      </c>
      <c r="F35" s="21">
        <f>C35</f>
        <v>229323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1101083.66</v>
      </c>
      <c r="D37" s="21">
        <f>945200.49+141002.98</f>
        <v>1086203.47</v>
      </c>
      <c r="E37" s="21">
        <f>D37-C37</f>
        <v>-14880.189999999944</v>
      </c>
      <c r="F37" s="21">
        <f>'[34]Sheet1'!$T$36</f>
        <v>1135353</v>
      </c>
      <c r="G37" s="21">
        <f>C37-F37</f>
        <v>-34269.340000000084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1330406.66</v>
      </c>
      <c r="D39" s="37">
        <f>D35+D37</f>
        <v>1318493.47</v>
      </c>
      <c r="E39" s="37">
        <f>E35+E37</f>
        <v>-11913.189999999944</v>
      </c>
      <c r="F39" s="37">
        <f>F35+F37</f>
        <v>1364676</v>
      </c>
      <c r="G39" s="37">
        <f>G35+G37</f>
        <v>-34269.340000000084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69</v>
      </c>
      <c r="C42" s="62"/>
      <c r="D42" s="62"/>
      <c r="E42" s="62"/>
      <c r="F42" s="62"/>
      <c r="G42" s="44">
        <f>F44+F45</f>
        <v>-5916.189999999944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5997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-11913.189999999944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-34269.340000000084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-34269.340000000084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55598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55598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1220.87+400+700</f>
        <v>2320.87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23649.529999999915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-144866.75-117052.67</f>
        <v>-261919.41999999998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-238269.89000000007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="33" customFormat="1" ht="12.75">
      <c r="C74" s="59" t="s">
        <v>54</v>
      </c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6" ht="15">
      <c r="B76" s="60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8">
      <selection activeCell="B67" sqref="B67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5.00390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11"/>
      <c r="D5" s="11"/>
      <c r="E5" s="11"/>
      <c r="F5" s="11"/>
      <c r="G5" s="11"/>
      <c r="H5" s="11"/>
      <c r="I5" s="11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11"/>
      <c r="I6" s="11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11"/>
      <c r="I7" s="11"/>
    </row>
    <row r="8" spans="2:9" ht="13.5" thickBot="1">
      <c r="B8" s="17" t="s">
        <v>12</v>
      </c>
      <c r="C8" s="18"/>
      <c r="D8" s="18"/>
      <c r="E8" s="18"/>
      <c r="F8" s="18"/>
      <c r="G8" s="19"/>
      <c r="H8" s="11"/>
      <c r="I8" s="11"/>
    </row>
    <row r="9" spans="2:9" ht="38.25" customHeight="1">
      <c r="B9" s="20" t="s">
        <v>13</v>
      </c>
      <c r="C9" s="21">
        <f>'[1]Sheet1'!$N$15</f>
        <v>115655</v>
      </c>
      <c r="D9" s="21">
        <f>'[1]Sheet1'!$R$15</f>
        <v>126591</v>
      </c>
      <c r="E9" s="21">
        <f>D9-C9</f>
        <v>10936</v>
      </c>
      <c r="F9" s="21">
        <f>'[1]Sheet1'!$T$15</f>
        <v>115655</v>
      </c>
      <c r="G9" s="21">
        <f>C9-F9</f>
        <v>0</v>
      </c>
      <c r="H9" s="11"/>
      <c r="I9" s="22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11"/>
      <c r="I10" s="11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11"/>
      <c r="I11" s="11"/>
    </row>
    <row r="12" spans="2:9" ht="13.5" thickBot="1">
      <c r="B12" s="26" t="s">
        <v>16</v>
      </c>
      <c r="C12" s="27">
        <f>C9</f>
        <v>115655</v>
      </c>
      <c r="D12" s="27">
        <f>D9</f>
        <v>126591</v>
      </c>
      <c r="E12" s="27">
        <f>E9</f>
        <v>10936</v>
      </c>
      <c r="F12" s="27">
        <f>F9</f>
        <v>115655</v>
      </c>
      <c r="G12" s="27">
        <f>G9</f>
        <v>0</v>
      </c>
      <c r="H12" s="11"/>
      <c r="I12" s="11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11"/>
      <c r="I13" s="11"/>
    </row>
    <row r="14" spans="2:9" ht="27" customHeight="1" thickBot="1">
      <c r="B14" s="24" t="s">
        <v>18</v>
      </c>
      <c r="C14" s="31">
        <f>'[1]Sheet1'!$N$18</f>
        <v>45528</v>
      </c>
      <c r="D14" s="31">
        <f>'[1]Sheet1'!$R$18</f>
        <v>49833</v>
      </c>
      <c r="E14" s="31">
        <f>D14-C14</f>
        <v>4305</v>
      </c>
      <c r="F14" s="31">
        <f>C14</f>
        <v>45528</v>
      </c>
      <c r="G14" s="31">
        <f>C14-F14</f>
        <v>0</v>
      </c>
      <c r="H14" s="11"/>
      <c r="I14" s="11"/>
    </row>
    <row r="15" spans="2:9" ht="25.5" customHeight="1" thickBot="1">
      <c r="B15" s="24" t="s">
        <v>19</v>
      </c>
      <c r="C15" s="31">
        <f>'[1]Sheet1'!$N$19</f>
        <v>3935</v>
      </c>
      <c r="D15" s="31">
        <f>'[1]Sheet1'!$R$19</f>
        <v>4307</v>
      </c>
      <c r="E15" s="31">
        <f>D15-C15</f>
        <v>372</v>
      </c>
      <c r="F15" s="31">
        <f>C15</f>
        <v>3935</v>
      </c>
      <c r="G15" s="31">
        <f>C15-F15</f>
        <v>0</v>
      </c>
      <c r="H15" s="11"/>
      <c r="I15" s="11"/>
    </row>
    <row r="16" spans="2:9" ht="25.5" customHeight="1" thickBot="1">
      <c r="B16" s="24" t="s">
        <v>20</v>
      </c>
      <c r="C16" s="31">
        <f>'[1]Sheet1'!$N$20</f>
        <v>8712</v>
      </c>
      <c r="D16" s="31">
        <f>'[1]Sheet1'!$R$20</f>
        <v>9536</v>
      </c>
      <c r="E16" s="31">
        <f>D16-C16</f>
        <v>824</v>
      </c>
      <c r="F16" s="31">
        <f>C16</f>
        <v>8712</v>
      </c>
      <c r="G16" s="31">
        <f>C16-F16</f>
        <v>0</v>
      </c>
      <c r="H16" s="11"/>
      <c r="I16" s="11"/>
    </row>
    <row r="17" spans="2:9" ht="25.5" customHeight="1" thickBot="1">
      <c r="B17" s="24" t="s">
        <v>21</v>
      </c>
      <c r="C17" s="31">
        <f>'[1]Sheet1'!$N$26</f>
        <v>79535</v>
      </c>
      <c r="D17" s="31">
        <f>'[1]Sheet1'!$R$26</f>
        <v>87056</v>
      </c>
      <c r="E17" s="31">
        <f>D17-C17</f>
        <v>7521</v>
      </c>
      <c r="F17" s="31">
        <f>C17</f>
        <v>79535</v>
      </c>
      <c r="G17" s="31">
        <f>C17-F17</f>
        <v>0</v>
      </c>
      <c r="H17" s="11"/>
      <c r="I17" s="11"/>
    </row>
    <row r="18" spans="2:9" ht="25.5" customHeight="1" thickBot="1">
      <c r="B18" s="24" t="s">
        <v>22</v>
      </c>
      <c r="C18" s="31">
        <f>'[1]Sheet1'!$K$41+'[1]Sheet1'!$N$42</f>
        <v>14334</v>
      </c>
      <c r="D18" s="31">
        <f>'[1]Sheet1'!$R$41+'[1]Sheet1'!$R$42</f>
        <v>15690</v>
      </c>
      <c r="E18" s="31">
        <f>D18-C18</f>
        <v>1356</v>
      </c>
      <c r="F18" s="31">
        <f>C18</f>
        <v>14334</v>
      </c>
      <c r="G18" s="31">
        <f>C18-F18</f>
        <v>0</v>
      </c>
      <c r="H18" s="11"/>
      <c r="I18" s="11"/>
    </row>
    <row r="19" spans="2:9" ht="13.5" thickBot="1">
      <c r="B19" s="26" t="s">
        <v>16</v>
      </c>
      <c r="C19" s="27">
        <f>SUM(C14:C18)</f>
        <v>152044</v>
      </c>
      <c r="D19" s="27">
        <f>SUM(D14:D18)</f>
        <v>166422</v>
      </c>
      <c r="E19" s="27">
        <f>SUM(E14:E18)</f>
        <v>14378</v>
      </c>
      <c r="F19" s="27">
        <f>SUM(F14:F18)</f>
        <v>152044</v>
      </c>
      <c r="G19" s="27">
        <f>SUM(G14:G18)</f>
        <v>0</v>
      </c>
      <c r="H19" s="11"/>
      <c r="I19" s="11"/>
    </row>
    <row r="20" spans="2:9" ht="13.5" thickBot="1">
      <c r="B20" s="32" t="s">
        <v>23</v>
      </c>
      <c r="C20" s="27">
        <f>C12+C19</f>
        <v>267699</v>
      </c>
      <c r="D20" s="27">
        <f>D12+D19</f>
        <v>293013</v>
      </c>
      <c r="E20" s="27">
        <f>E12+E19</f>
        <v>25314</v>
      </c>
      <c r="F20" s="27">
        <f>F12+F19</f>
        <v>267699</v>
      </c>
      <c r="G20" s="27">
        <f>G12+G19</f>
        <v>0</v>
      </c>
      <c r="H20" s="11"/>
      <c r="I20" s="11"/>
    </row>
    <row r="21" spans="2:9" ht="12.75">
      <c r="B21" s="33"/>
      <c r="C21" s="11"/>
      <c r="D21" s="11"/>
      <c r="E21" s="11"/>
      <c r="F21" s="11"/>
      <c r="G21" s="11"/>
      <c r="H21" s="11"/>
      <c r="I21" s="11"/>
    </row>
    <row r="22" spans="2:9" ht="12.75">
      <c r="B22" s="33"/>
      <c r="C22" s="11"/>
      <c r="D22" s="11"/>
      <c r="E22" s="11"/>
      <c r="F22" s="11"/>
      <c r="G22" s="11"/>
      <c r="H22" s="11"/>
      <c r="I22" s="11"/>
    </row>
    <row r="23" spans="2:9" ht="13.5" thickBot="1">
      <c r="B23" s="10" t="s">
        <v>24</v>
      </c>
      <c r="C23" s="11"/>
      <c r="D23" s="11"/>
      <c r="E23" s="11"/>
      <c r="F23" s="11"/>
      <c r="G23" s="11"/>
      <c r="H23" s="11"/>
      <c r="I23" s="11"/>
    </row>
    <row r="24" spans="2:9" ht="105" customHeight="1" thickBot="1">
      <c r="B24" s="34" t="s">
        <v>4</v>
      </c>
      <c r="C24" s="34" t="s">
        <v>5</v>
      </c>
      <c r="D24" s="35" t="s">
        <v>25</v>
      </c>
      <c r="E24" s="35" t="s">
        <v>7</v>
      </c>
      <c r="F24" s="34" t="s">
        <v>26</v>
      </c>
      <c r="G24" s="34" t="s">
        <v>9</v>
      </c>
      <c r="H24" s="11"/>
      <c r="I24" s="11"/>
    </row>
    <row r="25" spans="2:9" ht="13.5" customHeight="1" thickBot="1">
      <c r="B25" s="14">
        <v>1</v>
      </c>
      <c r="C25" s="15">
        <v>2</v>
      </c>
      <c r="D25" s="15">
        <v>3</v>
      </c>
      <c r="E25" s="15" t="s">
        <v>10</v>
      </c>
      <c r="F25" s="15">
        <v>5</v>
      </c>
      <c r="G25" s="16" t="s">
        <v>11</v>
      </c>
      <c r="H25" s="11"/>
      <c r="I25" s="11"/>
    </row>
    <row r="26" spans="2:9" ht="38.25" customHeight="1" thickBot="1">
      <c r="B26" s="24" t="s">
        <v>27</v>
      </c>
      <c r="C26" s="36">
        <f>'[1]Sheet1'!$N$12</f>
        <v>210676</v>
      </c>
      <c r="D26" s="36">
        <f>'[1]Sheet1'!$R$12</f>
        <v>230597</v>
      </c>
      <c r="E26" s="36">
        <f>D26-C26</f>
        <v>19921</v>
      </c>
      <c r="F26" s="36">
        <f>'[1]Sheet1'!$U$12</f>
        <v>117660</v>
      </c>
      <c r="G26" s="36">
        <f>C26-F26</f>
        <v>93016</v>
      </c>
      <c r="H26" s="22"/>
      <c r="I26" s="11"/>
    </row>
    <row r="27" spans="2:9" ht="13.5" thickBot="1">
      <c r="B27" s="26" t="s">
        <v>28</v>
      </c>
      <c r="C27" s="37">
        <f>C26</f>
        <v>210676</v>
      </c>
      <c r="D27" s="37">
        <f>D26</f>
        <v>230597</v>
      </c>
      <c r="E27" s="37">
        <f>E26</f>
        <v>19921</v>
      </c>
      <c r="F27" s="37">
        <f>F26</f>
        <v>117660</v>
      </c>
      <c r="G27" s="37">
        <f>G26</f>
        <v>93016</v>
      </c>
      <c r="H27" s="11"/>
      <c r="I27" s="11"/>
    </row>
    <row r="28" spans="2:9" ht="12.75">
      <c r="B28" s="38"/>
      <c r="C28" s="11"/>
      <c r="D28" s="11"/>
      <c r="E28" s="11"/>
      <c r="F28" s="11"/>
      <c r="G28" s="11"/>
      <c r="H28" s="11"/>
      <c r="I28" s="11"/>
    </row>
    <row r="29" spans="2:9" ht="12.75">
      <c r="B29" s="38"/>
      <c r="C29" s="11"/>
      <c r="D29" s="11"/>
      <c r="E29" s="11"/>
      <c r="F29" s="11"/>
      <c r="G29" s="11"/>
      <c r="H29" s="11"/>
      <c r="I29" s="11"/>
    </row>
    <row r="30" spans="2:9" ht="13.5" thickBot="1">
      <c r="B30" s="10" t="s">
        <v>29</v>
      </c>
      <c r="C30" s="11"/>
      <c r="D30" s="11"/>
      <c r="E30" s="11"/>
      <c r="F30" s="11"/>
      <c r="G30" s="11"/>
      <c r="H30" s="11"/>
      <c r="I30" s="11"/>
    </row>
    <row r="31" spans="2:9" ht="103.5" customHeight="1" thickBot="1">
      <c r="B31" s="34" t="s">
        <v>4</v>
      </c>
      <c r="C31" s="13" t="s">
        <v>30</v>
      </c>
      <c r="D31" s="39" t="s">
        <v>31</v>
      </c>
      <c r="E31" s="35" t="s">
        <v>7</v>
      </c>
      <c r="F31" s="13" t="s">
        <v>32</v>
      </c>
      <c r="G31" s="34" t="s">
        <v>9</v>
      </c>
      <c r="H31" s="11"/>
      <c r="I31" s="11"/>
    </row>
    <row r="32" spans="2:9" ht="13.5" customHeight="1" thickBot="1">
      <c r="B32" s="14">
        <v>1</v>
      </c>
      <c r="C32" s="15">
        <v>2</v>
      </c>
      <c r="D32" s="15">
        <v>3</v>
      </c>
      <c r="E32" s="15" t="s">
        <v>10</v>
      </c>
      <c r="F32" s="15">
        <v>5</v>
      </c>
      <c r="G32" s="16" t="s">
        <v>11</v>
      </c>
      <c r="H32" s="11"/>
      <c r="I32" s="11"/>
    </row>
    <row r="33" spans="2:9" ht="16.5" customHeight="1">
      <c r="B33" s="40" t="s">
        <v>33</v>
      </c>
      <c r="C33" s="21">
        <f>'[1]Sheet1'!$N$33</f>
        <v>200033</v>
      </c>
      <c r="D33" s="21">
        <f>'[1]Sheet1'!$R$33</f>
        <v>218947</v>
      </c>
      <c r="E33" s="21">
        <f>D33-C33</f>
        <v>18914</v>
      </c>
      <c r="F33" s="21">
        <f>C33</f>
        <v>200033</v>
      </c>
      <c r="G33" s="21">
        <f>C33-F33</f>
        <v>0</v>
      </c>
      <c r="H33" s="11"/>
      <c r="I33" s="11"/>
    </row>
    <row r="34" spans="2:9" ht="24" customHeight="1" thickBot="1">
      <c r="B34" s="41"/>
      <c r="C34" s="42"/>
      <c r="D34" s="42"/>
      <c r="E34" s="42"/>
      <c r="F34" s="42"/>
      <c r="G34" s="42"/>
      <c r="H34" s="11"/>
      <c r="I34" s="11"/>
    </row>
    <row r="35" spans="2:9" ht="17.25" customHeight="1">
      <c r="B35" s="40" t="s">
        <v>34</v>
      </c>
      <c r="C35" s="21">
        <f>997240.74</f>
        <v>997240.74</v>
      </c>
      <c r="D35" s="21">
        <f>922531.31+31188.86</f>
        <v>953720.17</v>
      </c>
      <c r="E35" s="21">
        <f>D35-C35</f>
        <v>-43520.56999999995</v>
      </c>
      <c r="F35" s="21">
        <f>'[1]Sheet1'!$T$36</f>
        <v>1057090</v>
      </c>
      <c r="G35" s="21">
        <f>C35-F35</f>
        <v>-59849.26000000001</v>
      </c>
      <c r="H35" s="11"/>
      <c r="I35" s="11"/>
    </row>
    <row r="36" spans="2:9" ht="13.5" thickBot="1">
      <c r="B36" s="41"/>
      <c r="C36" s="42"/>
      <c r="D36" s="42"/>
      <c r="E36" s="42"/>
      <c r="F36" s="42"/>
      <c r="G36" s="42"/>
      <c r="H36" s="11"/>
      <c r="I36" s="11"/>
    </row>
    <row r="37" spans="2:9" ht="13.5" thickBot="1">
      <c r="B37" s="32" t="s">
        <v>35</v>
      </c>
      <c r="C37" s="37">
        <f>C33+C35</f>
        <v>1197273.74</v>
      </c>
      <c r="D37" s="37">
        <f>D33+D35</f>
        <v>1172667.17</v>
      </c>
      <c r="E37" s="37">
        <f>E33+E35</f>
        <v>-24606.56999999995</v>
      </c>
      <c r="F37" s="37">
        <f>F33+F35</f>
        <v>1257123</v>
      </c>
      <c r="G37" s="37">
        <f>G33+G35</f>
        <v>-59849.26000000001</v>
      </c>
      <c r="H37" s="11"/>
      <c r="I37" s="11"/>
    </row>
    <row r="38" spans="2:9" ht="12.75">
      <c r="B38" s="33"/>
      <c r="C38" s="11"/>
      <c r="D38" s="11"/>
      <c r="E38" s="11"/>
      <c r="F38" s="11"/>
      <c r="G38" s="11"/>
      <c r="H38" s="11"/>
      <c r="I38" s="11"/>
    </row>
    <row r="39" spans="2:9" ht="12.75">
      <c r="B39" s="33"/>
      <c r="C39" s="11"/>
      <c r="D39" s="11"/>
      <c r="E39" s="11"/>
      <c r="F39" s="11"/>
      <c r="G39" s="11"/>
      <c r="H39" s="11"/>
      <c r="I39" s="11"/>
    </row>
    <row r="40" spans="2:9" ht="12.75">
      <c r="B40" s="43" t="s">
        <v>36</v>
      </c>
      <c r="C40" s="11"/>
      <c r="D40" s="11"/>
      <c r="E40" s="11"/>
      <c r="F40" s="11"/>
      <c r="G40" s="44">
        <f>F42+F43</f>
        <v>20628.43000000005</v>
      </c>
      <c r="H40" s="11"/>
      <c r="I40" s="11"/>
    </row>
    <row r="41" spans="2:9" ht="12.75">
      <c r="B41" s="45" t="s">
        <v>37</v>
      </c>
      <c r="C41" s="22"/>
      <c r="D41" s="11"/>
      <c r="E41" s="11"/>
      <c r="F41" s="11"/>
      <c r="G41" s="11"/>
      <c r="H41" s="11"/>
      <c r="I41" s="11"/>
    </row>
    <row r="42" spans="2:9" ht="12.75">
      <c r="B42" s="46" t="s">
        <v>38</v>
      </c>
      <c r="C42" s="11"/>
      <c r="D42" s="11"/>
      <c r="E42" s="11"/>
      <c r="F42" s="47">
        <f>(E20+E27)</f>
        <v>45235</v>
      </c>
      <c r="G42" s="11"/>
      <c r="H42" s="11"/>
      <c r="I42" s="11"/>
    </row>
    <row r="43" spans="2:9" ht="12.75">
      <c r="B43" s="46" t="s">
        <v>39</v>
      </c>
      <c r="C43" s="11"/>
      <c r="D43" s="11"/>
      <c r="E43" s="11"/>
      <c r="F43" s="47">
        <f>(E37)</f>
        <v>-24606.56999999995</v>
      </c>
      <c r="G43" s="11"/>
      <c r="H43" s="11"/>
      <c r="I43" s="11"/>
    </row>
    <row r="44" spans="2:9" ht="12.75">
      <c r="B44" s="46"/>
      <c r="C44" s="11"/>
      <c r="D44" s="11"/>
      <c r="E44" s="11"/>
      <c r="F44" s="47"/>
      <c r="G44" s="11"/>
      <c r="H44" s="11"/>
      <c r="I44" s="11"/>
    </row>
    <row r="45" spans="2:9" s="1" customFormat="1" ht="12.75">
      <c r="B45" s="48" t="s">
        <v>40</v>
      </c>
      <c r="C45" s="49"/>
      <c r="D45" s="49"/>
      <c r="E45" s="50"/>
      <c r="F45" s="51"/>
      <c r="G45" s="44">
        <f>F47+F48</f>
        <v>-59849.26000000001</v>
      </c>
      <c r="H45" s="49"/>
      <c r="I45" s="49"/>
    </row>
    <row r="46" spans="2:9" s="1" customFormat="1" ht="12.75">
      <c r="B46" s="45" t="s">
        <v>37</v>
      </c>
      <c r="C46" s="49"/>
      <c r="D46" s="49"/>
      <c r="E46" s="50"/>
      <c r="F46" s="51"/>
      <c r="G46" s="52"/>
      <c r="H46" s="49"/>
      <c r="I46" s="49"/>
    </row>
    <row r="47" spans="2:9" s="1" customFormat="1" ht="12.75">
      <c r="B47" s="46" t="s">
        <v>41</v>
      </c>
      <c r="C47" s="49"/>
      <c r="D47" s="49"/>
      <c r="E47" s="50"/>
      <c r="F47" s="47">
        <v>0</v>
      </c>
      <c r="G47" s="52"/>
      <c r="H47" s="49"/>
      <c r="I47" s="49"/>
    </row>
    <row r="48" spans="2:9" s="1" customFormat="1" ht="12.75">
      <c r="B48" s="46" t="s">
        <v>42</v>
      </c>
      <c r="C48" s="49"/>
      <c r="D48" s="49"/>
      <c r="E48" s="50"/>
      <c r="F48" s="47">
        <f>(G37)</f>
        <v>-59849.26000000001</v>
      </c>
      <c r="G48" s="52"/>
      <c r="H48" s="49"/>
      <c r="I48" s="49"/>
    </row>
    <row r="49" spans="2:9" s="1" customFormat="1" ht="12.75">
      <c r="B49" s="46"/>
      <c r="C49" s="49"/>
      <c r="D49" s="49"/>
      <c r="E49" s="50"/>
      <c r="F49" s="51"/>
      <c r="G49" s="52"/>
      <c r="H49" s="49"/>
      <c r="I49" s="49"/>
    </row>
    <row r="50" spans="2:9" s="1" customFormat="1" ht="12.75">
      <c r="B50" s="48" t="s">
        <v>43</v>
      </c>
      <c r="C50" s="49"/>
      <c r="D50" s="49"/>
      <c r="E50" s="50"/>
      <c r="F50" s="51"/>
      <c r="G50" s="44">
        <f>F52+F53</f>
        <v>93016</v>
      </c>
      <c r="H50" s="49"/>
      <c r="I50" s="49"/>
    </row>
    <row r="51" spans="2:9" ht="12.75">
      <c r="B51" s="45" t="s">
        <v>37</v>
      </c>
      <c r="C51" s="11"/>
      <c r="D51" s="11"/>
      <c r="E51" s="11"/>
      <c r="F51" s="33"/>
      <c r="G51" s="52"/>
      <c r="H51" s="11"/>
      <c r="I51" s="11"/>
    </row>
    <row r="52" spans="2:9" ht="12.75">
      <c r="B52" s="46" t="s">
        <v>41</v>
      </c>
      <c r="C52" s="11"/>
      <c r="D52" s="11"/>
      <c r="E52" s="11"/>
      <c r="F52" s="47">
        <f>G27+G20</f>
        <v>93016</v>
      </c>
      <c r="G52" s="11"/>
      <c r="H52" s="11"/>
      <c r="I52" s="11"/>
    </row>
    <row r="53" spans="2:9" ht="12.75">
      <c r="B53" s="46" t="s">
        <v>42</v>
      </c>
      <c r="C53" s="11"/>
      <c r="D53" s="11"/>
      <c r="E53" s="11"/>
      <c r="F53" s="47">
        <f>ABS(G42)</f>
        <v>0</v>
      </c>
      <c r="G53" s="11"/>
      <c r="H53" s="11"/>
      <c r="I53" s="11"/>
    </row>
    <row r="54" spans="2:9" ht="12.75">
      <c r="B54" s="46"/>
      <c r="C54" s="11"/>
      <c r="D54" s="11"/>
      <c r="E54" s="11"/>
      <c r="F54" s="47"/>
      <c r="G54" s="11"/>
      <c r="H54" s="11"/>
      <c r="I54" s="11"/>
    </row>
    <row r="55" spans="2:9" ht="12.75">
      <c r="B55" s="53" t="s">
        <v>44</v>
      </c>
      <c r="C55" s="11"/>
      <c r="D55" s="11"/>
      <c r="E55" s="11"/>
      <c r="F55" s="33"/>
      <c r="G55" s="11"/>
      <c r="H55" s="11"/>
      <c r="I55" s="11"/>
    </row>
    <row r="56" spans="2:9" ht="12.75">
      <c r="B56" s="33" t="s">
        <v>45</v>
      </c>
      <c r="C56" s="11"/>
      <c r="D56" s="11"/>
      <c r="E56" s="54"/>
      <c r="F56" s="51"/>
      <c r="G56" s="44">
        <f>1627.82+400+700</f>
        <v>2727.8199999999997</v>
      </c>
      <c r="H56" s="11"/>
      <c r="I56" s="11"/>
    </row>
    <row r="57" spans="2:9" ht="12.75">
      <c r="B57" s="10"/>
      <c r="C57" s="11"/>
      <c r="D57" s="11"/>
      <c r="E57" s="11"/>
      <c r="F57" s="11"/>
      <c r="G57" s="11"/>
      <c r="H57" s="11"/>
      <c r="I57" s="11"/>
    </row>
    <row r="58" spans="2:9" ht="12.75">
      <c r="B58" s="46"/>
      <c r="C58" s="11"/>
      <c r="D58" s="11"/>
      <c r="E58" s="11"/>
      <c r="F58" s="47"/>
      <c r="G58" s="11"/>
      <c r="H58" s="11"/>
      <c r="I58" s="11"/>
    </row>
    <row r="59" spans="2:9" ht="15.75">
      <c r="B59" s="55" t="s">
        <v>46</v>
      </c>
      <c r="C59" s="11"/>
      <c r="D59" s="11"/>
      <c r="E59" s="11"/>
      <c r="F59" s="56">
        <f>G45+G50+G56</f>
        <v>35894.55999999999</v>
      </c>
      <c r="G59" s="56" t="s">
        <v>47</v>
      </c>
      <c r="H59" s="11"/>
      <c r="I59" s="11"/>
    </row>
    <row r="60" spans="2:9" ht="12.75">
      <c r="B60" s="57" t="s">
        <v>48</v>
      </c>
      <c r="C60" s="11"/>
      <c r="D60" s="11"/>
      <c r="E60" s="11"/>
      <c r="F60" s="47"/>
      <c r="G60" s="11"/>
      <c r="H60" s="11"/>
      <c r="I60" s="11"/>
    </row>
    <row r="61" spans="2:9" ht="12.75">
      <c r="B61" s="57" t="s">
        <v>49</v>
      </c>
      <c r="C61" s="11"/>
      <c r="D61" s="11"/>
      <c r="E61" s="11"/>
      <c r="F61" s="47"/>
      <c r="G61" s="11"/>
      <c r="H61" s="11"/>
      <c r="I61" s="11"/>
    </row>
    <row r="62" spans="2:9" ht="12.75">
      <c r="B62" s="46"/>
      <c r="C62" s="11"/>
      <c r="D62" s="11"/>
      <c r="E62" s="11"/>
      <c r="F62" s="47"/>
      <c r="G62" s="11"/>
      <c r="H62" s="11"/>
      <c r="I62" s="11"/>
    </row>
    <row r="63" spans="2:9" ht="15.75">
      <c r="B63" s="55" t="s">
        <v>50</v>
      </c>
      <c r="C63" s="11"/>
      <c r="D63" s="11"/>
      <c r="E63" s="11"/>
      <c r="F63" s="56">
        <f>-108091.38-119485.82</f>
        <v>-227577.2</v>
      </c>
      <c r="G63" s="56" t="s">
        <v>47</v>
      </c>
      <c r="H63" s="11"/>
      <c r="I63" s="11"/>
    </row>
    <row r="64" spans="2:9" ht="12.75">
      <c r="B64" s="57" t="s">
        <v>51</v>
      </c>
      <c r="C64" s="11"/>
      <c r="D64" s="11"/>
      <c r="E64" s="11"/>
      <c r="F64" s="47"/>
      <c r="G64" s="11"/>
      <c r="H64" s="11"/>
      <c r="I64" s="11"/>
    </row>
    <row r="65" spans="2:9" ht="12.75">
      <c r="B65" s="57" t="s">
        <v>52</v>
      </c>
      <c r="C65" s="11"/>
      <c r="D65" s="11"/>
      <c r="E65" s="11"/>
      <c r="F65" s="47"/>
      <c r="G65" s="11"/>
      <c r="H65" s="11"/>
      <c r="I65" s="11"/>
    </row>
    <row r="66" spans="2:9" ht="12.75">
      <c r="B66" s="33"/>
      <c r="C66" s="11"/>
      <c r="D66" s="11"/>
      <c r="E66" s="11"/>
      <c r="F66" s="11"/>
      <c r="G66" s="11"/>
      <c r="H66" s="11"/>
      <c r="I66" s="11"/>
    </row>
    <row r="67" spans="1:9" ht="15.75">
      <c r="A67" s="11"/>
      <c r="B67" s="58" t="s">
        <v>53</v>
      </c>
      <c r="C67" s="58"/>
      <c r="D67" s="58"/>
      <c r="E67" s="11"/>
      <c r="F67" s="56">
        <f>F59+F63</f>
        <v>-191682.64</v>
      </c>
      <c r="G67" s="56" t="s">
        <v>47</v>
      </c>
      <c r="H67" s="11"/>
      <c r="I67" s="11"/>
    </row>
    <row r="68" spans="1:9" ht="12.75">
      <c r="A68" s="11"/>
      <c r="B68" s="38" t="s">
        <v>48</v>
      </c>
      <c r="C68" s="38"/>
      <c r="D68" s="11"/>
      <c r="E68" s="11"/>
      <c r="F68" s="47"/>
      <c r="G68" s="11"/>
      <c r="H68" s="11"/>
      <c r="I68" s="11"/>
    </row>
    <row r="69" spans="1:9" ht="12.75">
      <c r="A69" s="11"/>
      <c r="B69" s="38" t="s">
        <v>49</v>
      </c>
      <c r="C69" s="11"/>
      <c r="D69" s="11"/>
      <c r="E69" s="11"/>
      <c r="F69" s="47"/>
      <c r="G69" s="11"/>
      <c r="H69" s="11"/>
      <c r="I69" s="11"/>
    </row>
    <row r="70" spans="2:9" ht="12.75">
      <c r="B70" s="33"/>
      <c r="C70" s="11"/>
      <c r="D70" s="11"/>
      <c r="E70" s="11"/>
      <c r="F70" s="11"/>
      <c r="G70" s="11"/>
      <c r="H70" s="11"/>
      <c r="I70" s="11"/>
    </row>
    <row r="71" s="33" customFormat="1" ht="12.75">
      <c r="C71" s="59" t="s">
        <v>54</v>
      </c>
    </row>
    <row r="72" spans="2:9" ht="12.75">
      <c r="B72" s="33"/>
      <c r="C72" s="11"/>
      <c r="D72" s="11"/>
      <c r="E72" s="11"/>
      <c r="F72" s="11"/>
      <c r="G72" s="11"/>
      <c r="H72" s="11"/>
      <c r="I72" s="11"/>
    </row>
    <row r="73" spans="2:6" ht="15">
      <c r="B73" s="60"/>
      <c r="C73" s="61"/>
      <c r="D73" s="61"/>
      <c r="E73" s="61"/>
      <c r="F73" s="61"/>
    </row>
    <row r="74" spans="2:6" ht="14.25">
      <c r="B74" s="61"/>
      <c r="C74" s="61"/>
      <c r="D74" s="61"/>
      <c r="E74" s="61"/>
      <c r="F74" s="61"/>
    </row>
    <row r="75" spans="2:6" ht="14.25">
      <c r="B75" s="61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</sheetData>
  <sheetProtection/>
  <mergeCells count="19">
    <mergeCell ref="B35:B36"/>
    <mergeCell ref="C35:C36"/>
    <mergeCell ref="D35:D36"/>
    <mergeCell ref="E35:E36"/>
    <mergeCell ref="F35:F36"/>
    <mergeCell ref="G35:G36"/>
    <mergeCell ref="B13:G13"/>
    <mergeCell ref="B33:B34"/>
    <mergeCell ref="C33:C34"/>
    <mergeCell ref="D33:D34"/>
    <mergeCell ref="E33:E34"/>
    <mergeCell ref="F33:F34"/>
    <mergeCell ref="G33:G34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48">
      <selection activeCell="H63" sqref="H63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156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'[35]Sheet1'!$N$15</f>
        <v>99571</v>
      </c>
      <c r="D10" s="21">
        <f>'[35]Sheet1'!$R$15</f>
        <v>97842</v>
      </c>
      <c r="E10" s="21">
        <f>D10-C10</f>
        <v>-1729</v>
      </c>
      <c r="F10" s="21">
        <f>'[35]Sheet1'!$T$15</f>
        <v>99571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99571</v>
      </c>
      <c r="D13" s="27">
        <f>D10</f>
        <v>97842</v>
      </c>
      <c r="E13" s="27">
        <f>E10</f>
        <v>-1729</v>
      </c>
      <c r="F13" s="27">
        <f>F10</f>
        <v>99571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'[35]Sheet1'!$N$18</f>
        <v>46718</v>
      </c>
      <c r="D16" s="31">
        <f>'[35]Sheet1'!$R$18</f>
        <v>45906</v>
      </c>
      <c r="E16" s="31">
        <f aca="true" t="shared" si="0" ref="E16:E22">D16-C16</f>
        <v>-812</v>
      </c>
      <c r="F16" s="31">
        <f>'[35]Sheet1'!$T$18</f>
        <v>46718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'[35]Sheet1'!$N$19</f>
        <v>4037</v>
      </c>
      <c r="D17" s="31">
        <f>'[35]Sheet1'!$R$19</f>
        <v>3967</v>
      </c>
      <c r="E17" s="31">
        <f t="shared" si="0"/>
        <v>-70</v>
      </c>
      <c r="F17" s="31">
        <f>'[35]Sheet1'!$T$19</f>
        <v>4037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'[35]Sheet1'!$N$20</f>
        <v>8940</v>
      </c>
      <c r="D18" s="31">
        <f>'[35]Sheet1'!$R$20</f>
        <v>8785</v>
      </c>
      <c r="E18" s="31">
        <f t="shared" si="0"/>
        <v>-155</v>
      </c>
      <c r="F18" s="31">
        <f>'[35]Sheet1'!$T$20</f>
        <v>8940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'[35]Sheet1'!$N$26</f>
        <v>81611</v>
      </c>
      <c r="D21" s="31">
        <f>'[35]Sheet1'!$R$26</f>
        <v>80193</v>
      </c>
      <c r="E21" s="31">
        <f t="shared" si="0"/>
        <v>-1418</v>
      </c>
      <c r="F21" s="31">
        <f>'[35]Sheet1'!$T$26</f>
        <v>81611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'[35]Sheet1'!$N$41+'[35]Sheet1'!$N$42</f>
        <v>14709</v>
      </c>
      <c r="D22" s="31">
        <f>'[35]Sheet1'!$R$41+'[35]Sheet1'!$R$42</f>
        <v>14453</v>
      </c>
      <c r="E22" s="31">
        <f t="shared" si="0"/>
        <v>-256</v>
      </c>
      <c r="F22" s="31">
        <f>'[35]Sheet1'!$T$41+'[35]Sheet1'!$T$42</f>
        <v>14709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156015</v>
      </c>
      <c r="D23" s="27">
        <f>SUM(D15:D22)</f>
        <v>153304</v>
      </c>
      <c r="E23" s="27">
        <f>SUM(E15:E22)</f>
        <v>-2711</v>
      </c>
      <c r="F23" s="27">
        <f>SUM(F15:F22)</f>
        <v>156015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255586</v>
      </c>
      <c r="D24" s="27">
        <f>D13+D23</f>
        <v>251146</v>
      </c>
      <c r="E24" s="27">
        <f>E13+E23</f>
        <v>-4440</v>
      </c>
      <c r="F24" s="27">
        <f>F13+F23</f>
        <v>255586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'[35]Sheet1'!$N$12</f>
        <v>205248</v>
      </c>
      <c r="D29" s="36">
        <f>'[35]Sheet1'!$R$12</f>
        <v>201683</v>
      </c>
      <c r="E29" s="36">
        <f>D29-C29</f>
        <v>-3565</v>
      </c>
      <c r="F29" s="36">
        <f>'[35]Sheet1'!$U$12</f>
        <v>61018</v>
      </c>
      <c r="G29" s="36">
        <f>C29-F29</f>
        <v>144230</v>
      </c>
      <c r="H29" s="63"/>
      <c r="I29" s="62"/>
    </row>
    <row r="30" spans="2:9" ht="13.5" thickBot="1">
      <c r="B30" s="26" t="s">
        <v>28</v>
      </c>
      <c r="C30" s="37">
        <f>C29</f>
        <v>205248</v>
      </c>
      <c r="D30" s="37">
        <f>D29</f>
        <v>201683</v>
      </c>
      <c r="E30" s="37">
        <f>E29</f>
        <v>-3565</v>
      </c>
      <c r="F30" s="37">
        <f>F29</f>
        <v>61018</v>
      </c>
      <c r="G30" s="37">
        <f>G29</f>
        <v>144230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'[35]Sheet1'!$N$33</f>
        <v>202808</v>
      </c>
      <c r="D35" s="21">
        <f>'[35]Sheet1'!$R$33</f>
        <v>199286</v>
      </c>
      <c r="E35" s="21">
        <f>D35-C35</f>
        <v>-3522</v>
      </c>
      <c r="F35" s="21">
        <f>C35</f>
        <v>202808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1038827.14</v>
      </c>
      <c r="D37" s="21">
        <f>892208.63+81663.29</f>
        <v>973871.92</v>
      </c>
      <c r="E37" s="21">
        <f>D37-C37</f>
        <v>-64955.21999999997</v>
      </c>
      <c r="F37" s="21">
        <f>'[35]Sheet1'!$T$36</f>
        <v>1061305</v>
      </c>
      <c r="G37" s="21">
        <f>C37-F37</f>
        <v>-22477.859999999986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1241635.1400000001</v>
      </c>
      <c r="D39" s="37">
        <f>D35+D37</f>
        <v>1173157.92</v>
      </c>
      <c r="E39" s="37">
        <f>E35+E37</f>
        <v>-68477.21999999997</v>
      </c>
      <c r="F39" s="37">
        <f>F35+F37</f>
        <v>1264113</v>
      </c>
      <c r="G39" s="37">
        <f>G35+G37</f>
        <v>-22477.859999999986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-76482.21999999997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-8005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-68477.21999999997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-22477.859999999986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-22477.859999999986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144230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144230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124479.96000000002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-192105.98-149180.77</f>
        <v>-341286.75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-216806.78999999998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="33" customFormat="1" ht="12.75">
      <c r="C74" s="59" t="s">
        <v>54</v>
      </c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6" ht="15">
      <c r="B76" s="60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22">
      <selection activeCell="J27" sqref="J27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157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'[36]Sheet1'!$N$15</f>
        <v>246736</v>
      </c>
      <c r="D10" s="21">
        <f>'[36]Sheet1'!$R$15</f>
        <v>250154</v>
      </c>
      <c r="E10" s="21">
        <f>D10-C10</f>
        <v>3418</v>
      </c>
      <c r="F10" s="21">
        <f>'[36]Sheet1'!$T$15</f>
        <v>246736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246736</v>
      </c>
      <c r="D13" s="27">
        <f>D10</f>
        <v>250154</v>
      </c>
      <c r="E13" s="27">
        <f>E10</f>
        <v>3418</v>
      </c>
      <c r="F13" s="27">
        <f>F10</f>
        <v>246736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'[36]Sheet1'!$N$18</f>
        <v>96936</v>
      </c>
      <c r="D16" s="31">
        <f>'[36]Sheet1'!$R$18</f>
        <v>98279</v>
      </c>
      <c r="E16" s="31">
        <f aca="true" t="shared" si="0" ref="E16:E22">D16-C16</f>
        <v>1343</v>
      </c>
      <c r="F16" s="31">
        <f>'[36]Sheet1'!$T$18</f>
        <v>96936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'[36]Sheet1'!$N$19</f>
        <v>8348</v>
      </c>
      <c r="D17" s="31">
        <f>'[36]Sheet1'!$R$19</f>
        <v>8463</v>
      </c>
      <c r="E17" s="31">
        <f t="shared" si="0"/>
        <v>115</v>
      </c>
      <c r="F17" s="31">
        <f>'[36]Sheet1'!$T$19</f>
        <v>8348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'[36]Sheet1'!$N$20</f>
        <v>18896</v>
      </c>
      <c r="D18" s="31">
        <f>'[36]Sheet1'!$R$20</f>
        <v>19158</v>
      </c>
      <c r="E18" s="31">
        <f t="shared" si="0"/>
        <v>262</v>
      </c>
      <c r="F18" s="31">
        <f>'[36]Sheet1'!$T$20</f>
        <v>18896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'[36]Sheet1'!$N$26</f>
        <v>172024</v>
      </c>
      <c r="D21" s="31">
        <f>'[36]Sheet1'!$R$26</f>
        <v>174408</v>
      </c>
      <c r="E21" s="31">
        <f t="shared" si="0"/>
        <v>2384</v>
      </c>
      <c r="F21" s="31">
        <f>'[36]Sheet1'!$T$26</f>
        <v>172024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'[36]Sheet1'!$N$41+'[36]Sheet1'!$N$42</f>
        <v>30302</v>
      </c>
      <c r="D22" s="31">
        <f>'[36]Sheet1'!$R$41+'[36]Sheet1'!$R$42</f>
        <v>30722</v>
      </c>
      <c r="E22" s="31">
        <f t="shared" si="0"/>
        <v>420</v>
      </c>
      <c r="F22" s="31">
        <f>'[36]Sheet1'!$T$41+'[36]Sheet1'!$T$42</f>
        <v>30302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326506</v>
      </c>
      <c r="D23" s="27">
        <f>SUM(D15:D22)</f>
        <v>331030</v>
      </c>
      <c r="E23" s="27">
        <f>SUM(E15:E22)</f>
        <v>4524</v>
      </c>
      <c r="F23" s="27">
        <f>SUM(F15:F22)</f>
        <v>326506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573242</v>
      </c>
      <c r="D24" s="27">
        <f>D13+D23</f>
        <v>581184</v>
      </c>
      <c r="E24" s="27">
        <f>E13+E23</f>
        <v>7942</v>
      </c>
      <c r="F24" s="27">
        <f>F13+F23</f>
        <v>573242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'[36]Sheet1'!$N$12</f>
        <v>452100</v>
      </c>
      <c r="D29" s="36">
        <f>'[36]Sheet1'!$R$12</f>
        <v>458364</v>
      </c>
      <c r="E29" s="36">
        <f>D29-C29</f>
        <v>6264</v>
      </c>
      <c r="F29" s="36">
        <v>97662</v>
      </c>
      <c r="G29" s="36">
        <f>C29-F29</f>
        <v>354438</v>
      </c>
      <c r="H29" s="63"/>
      <c r="I29" s="62"/>
    </row>
    <row r="30" spans="2:9" ht="13.5" thickBot="1">
      <c r="B30" s="26" t="s">
        <v>28</v>
      </c>
      <c r="C30" s="37">
        <f>C29</f>
        <v>452100</v>
      </c>
      <c r="D30" s="37">
        <f>D29</f>
        <v>458364</v>
      </c>
      <c r="E30" s="37">
        <f>E29</f>
        <v>6264</v>
      </c>
      <c r="F30" s="37">
        <f>F29</f>
        <v>97662</v>
      </c>
      <c r="G30" s="37">
        <f>G29</f>
        <v>354438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'[36]Sheet1'!$N$33</f>
        <v>442023</v>
      </c>
      <c r="D35" s="21">
        <f>'[36]Sheet1'!$R$33</f>
        <v>448148</v>
      </c>
      <c r="E35" s="21">
        <f>D35-C35</f>
        <v>6125</v>
      </c>
      <c r="F35" s="21">
        <f>C35</f>
        <v>442023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2262740.6</f>
        <v>2262740.6</v>
      </c>
      <c r="D37" s="21">
        <f>1938076.81+192835.91</f>
        <v>2130912.72</v>
      </c>
      <c r="E37" s="21">
        <f>D37-C37</f>
        <v>-131827.8799999999</v>
      </c>
      <c r="F37" s="21">
        <f>'[36]Sheet1'!$T$36</f>
        <v>2185531</v>
      </c>
      <c r="G37" s="21">
        <f>C37-F37</f>
        <v>77209.6000000001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2704763.6</v>
      </c>
      <c r="D39" s="37">
        <f>D35+D37</f>
        <v>2579060.72</v>
      </c>
      <c r="E39" s="37">
        <f>E35+E37</f>
        <v>-125702.87999999989</v>
      </c>
      <c r="F39" s="37">
        <f>F35+F37</f>
        <v>2627554</v>
      </c>
      <c r="G39" s="37">
        <f>G35+G37</f>
        <v>77209.6000000001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-111496.87999999989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14206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-125702.87999999989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0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0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431647.6000000001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354438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77209.6000000001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434375.4200000001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-485548.9-293614.95</f>
        <v>-779163.8500000001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-344788.43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9" ht="12.75">
      <c r="B72" s="33"/>
      <c r="C72" s="62"/>
      <c r="D72" s="62"/>
      <c r="E72" s="62"/>
      <c r="F72" s="62"/>
      <c r="G72" s="62"/>
      <c r="H72" s="62"/>
      <c r="I72" s="62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27">
      <selection activeCell="H30" sqref="H30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158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'[37]Sheet1'!$N$15</f>
        <v>109470</v>
      </c>
      <c r="D10" s="21">
        <f>'[37]Sheet1'!$R$15</f>
        <v>121643</v>
      </c>
      <c r="E10" s="21">
        <f>D10-C10</f>
        <v>12173</v>
      </c>
      <c r="F10" s="21">
        <f>'[37]Sheet1'!$T$15</f>
        <v>109470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109470</v>
      </c>
      <c r="D13" s="27">
        <f>D10</f>
        <v>121643</v>
      </c>
      <c r="E13" s="27">
        <f>E10</f>
        <v>12173</v>
      </c>
      <c r="F13" s="27">
        <f>F10</f>
        <v>109470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'[37]Sheet1'!$N$18</f>
        <v>44017</v>
      </c>
      <c r="D16" s="31">
        <f>'[37]Sheet1'!$R$18</f>
        <v>48912</v>
      </c>
      <c r="E16" s="31">
        <f aca="true" t="shared" si="0" ref="E16:E22">D16-C16</f>
        <v>4895</v>
      </c>
      <c r="F16" s="31">
        <f>'[37]Sheet1'!$T$18</f>
        <v>44017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'[37]Sheet1'!$N$19</f>
        <v>3793</v>
      </c>
      <c r="D17" s="31">
        <f>'[37]Sheet1'!$R$19</f>
        <v>4215</v>
      </c>
      <c r="E17" s="31">
        <f t="shared" si="0"/>
        <v>422</v>
      </c>
      <c r="F17" s="31">
        <f>'[37]Sheet1'!$T$19</f>
        <v>3793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'[37]Sheet1'!$N$20</f>
        <v>8546</v>
      </c>
      <c r="D18" s="31">
        <f>'[37]Sheet1'!$R$20</f>
        <v>9497</v>
      </c>
      <c r="E18" s="31">
        <f t="shared" si="0"/>
        <v>951</v>
      </c>
      <c r="F18" s="31">
        <f>'[37]Sheet1'!$T$20</f>
        <v>8546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'[37]Sheet1'!$N$26</f>
        <v>77819</v>
      </c>
      <c r="D21" s="31">
        <f>'[37]Sheet1'!$R$26</f>
        <v>86473</v>
      </c>
      <c r="E21" s="31">
        <f t="shared" si="0"/>
        <v>8654</v>
      </c>
      <c r="F21" s="31">
        <f>'[37]Sheet1'!$T$26</f>
        <v>77819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'[37]Sheet1'!$N$41+'[37]Sheet1'!$N$42</f>
        <v>13778</v>
      </c>
      <c r="D22" s="31">
        <f>'[37]Sheet1'!$R$41+'[37]Sheet1'!$R$42</f>
        <v>15310</v>
      </c>
      <c r="E22" s="31">
        <f t="shared" si="0"/>
        <v>1532</v>
      </c>
      <c r="F22" s="31">
        <f>'[37]Sheet1'!$T$41+'[37]Sheet1'!$T$42</f>
        <v>13778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147953</v>
      </c>
      <c r="D23" s="27">
        <f>SUM(D15:D22)</f>
        <v>164407</v>
      </c>
      <c r="E23" s="27">
        <f>SUM(E15:E22)</f>
        <v>16454</v>
      </c>
      <c r="F23" s="27">
        <f>SUM(F15:F22)</f>
        <v>147953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257423</v>
      </c>
      <c r="D24" s="27">
        <f>D13+D23</f>
        <v>286050</v>
      </c>
      <c r="E24" s="27">
        <f>E13+E23</f>
        <v>28627</v>
      </c>
      <c r="F24" s="27">
        <f>F13+F23</f>
        <v>257423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'[37]Sheet1'!$N$12</f>
        <v>202857</v>
      </c>
      <c r="D29" s="36">
        <f>'[37]Sheet1'!$R$12</f>
        <v>225415</v>
      </c>
      <c r="E29" s="36">
        <f>D29-C29</f>
        <v>22558</v>
      </c>
      <c r="F29" s="36">
        <v>528614</v>
      </c>
      <c r="G29" s="36">
        <f>C29-F29</f>
        <v>-325757</v>
      </c>
      <c r="H29" s="63"/>
      <c r="I29" s="62"/>
    </row>
    <row r="30" spans="2:9" ht="13.5" thickBot="1">
      <c r="B30" s="26" t="s">
        <v>28</v>
      </c>
      <c r="C30" s="37">
        <f>C29</f>
        <v>202857</v>
      </c>
      <c r="D30" s="37">
        <f>D29</f>
        <v>225415</v>
      </c>
      <c r="E30" s="37">
        <f>E29</f>
        <v>22558</v>
      </c>
      <c r="F30" s="37">
        <f>F29</f>
        <v>528614</v>
      </c>
      <c r="G30" s="37">
        <f>G29</f>
        <v>-325757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'[37]Sheet1'!$N$33</f>
        <v>211458</v>
      </c>
      <c r="D35" s="21">
        <f>'[37]Sheet1'!$R$33</f>
        <v>234972</v>
      </c>
      <c r="E35" s="21">
        <f>D35-C35</f>
        <v>23514</v>
      </c>
      <c r="F35" s="21">
        <f>C35</f>
        <v>211458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1066827.56</f>
        <v>1066827.56</v>
      </c>
      <c r="D37" s="21">
        <f>994258.61+32182.62</f>
        <v>1026441.23</v>
      </c>
      <c r="E37" s="21">
        <f>D37-C37</f>
        <v>-40386.330000000075</v>
      </c>
      <c r="F37" s="21">
        <f>'[37]Sheet1'!$T$36</f>
        <v>1057210</v>
      </c>
      <c r="G37" s="21">
        <f>C37-F37</f>
        <v>9617.560000000056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1278285.56</v>
      </c>
      <c r="D39" s="37">
        <f>D35+D37</f>
        <v>1261413.23</v>
      </c>
      <c r="E39" s="37">
        <f>E35+E37</f>
        <v>-16872.330000000075</v>
      </c>
      <c r="F39" s="37">
        <f>F35+F37</f>
        <v>1268668</v>
      </c>
      <c r="G39" s="37">
        <f>G35+G37</f>
        <v>9617.560000000056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34312.669999999925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51185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-16872.330000000075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-325757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-325757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0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9617.560000000056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0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9617.560000000056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-313411.61999999994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-40014.32-38214.38</f>
        <v>-78228.7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-391640.31999999995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28">
      <selection activeCell="F66" sqref="F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159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'[38]Sheet1'!$N$15</f>
        <v>215886</v>
      </c>
      <c r="D10" s="21">
        <f>'[38]Sheet1'!$R$15</f>
        <v>235147</v>
      </c>
      <c r="E10" s="21">
        <f>D10-C10</f>
        <v>19261</v>
      </c>
      <c r="F10" s="21">
        <f>'[38]Sheet1'!$T$15</f>
        <v>215886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215886</v>
      </c>
      <c r="D13" s="27">
        <f>D10</f>
        <v>235147</v>
      </c>
      <c r="E13" s="27">
        <f>E10</f>
        <v>19261</v>
      </c>
      <c r="F13" s="27">
        <f>F10</f>
        <v>215886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'[38]Sheet1'!$N$18</f>
        <v>93461</v>
      </c>
      <c r="D16" s="31">
        <f>'[38]Sheet1'!$R$18</f>
        <v>101800</v>
      </c>
      <c r="E16" s="31">
        <f aca="true" t="shared" si="0" ref="E16:E22">D16-C16</f>
        <v>8339</v>
      </c>
      <c r="F16" s="31">
        <f>'[38]Sheet1'!$T$18</f>
        <v>93461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'[38]Sheet1'!$N$19</f>
        <v>8067</v>
      </c>
      <c r="D17" s="31">
        <f>'[38]Sheet1'!$R$19</f>
        <v>8787</v>
      </c>
      <c r="E17" s="31">
        <f t="shared" si="0"/>
        <v>720</v>
      </c>
      <c r="F17" s="31">
        <f>'[38]Sheet1'!$T$19</f>
        <v>8067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'[38]Sheet1'!$N$20</f>
        <v>18005</v>
      </c>
      <c r="D18" s="31">
        <f>'[38]Sheet1'!$R$20</f>
        <v>19611</v>
      </c>
      <c r="E18" s="31">
        <f t="shared" si="0"/>
        <v>1606</v>
      </c>
      <c r="F18" s="31">
        <f>'[38]Sheet1'!$T$20</f>
        <v>18005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'[38]Sheet1'!$N$26</f>
        <v>164163</v>
      </c>
      <c r="D21" s="31">
        <f>'[38]Sheet1'!$R$26</f>
        <v>178810</v>
      </c>
      <c r="E21" s="31">
        <f t="shared" si="0"/>
        <v>14647</v>
      </c>
      <c r="F21" s="31">
        <f>'[38]Sheet1'!$T$26</f>
        <v>164163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'[38]Sheet1'!$N$41+'[38]Sheet1'!$N$42</f>
        <v>29349</v>
      </c>
      <c r="D22" s="31">
        <f>'[38]Sheet1'!$R$41+'[38]Sheet1'!$R$42</f>
        <v>31967</v>
      </c>
      <c r="E22" s="31">
        <f t="shared" si="0"/>
        <v>2618</v>
      </c>
      <c r="F22" s="31">
        <f>'[38]Sheet1'!$T$41+'[38]Sheet1'!$T$42</f>
        <v>29349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313045</v>
      </c>
      <c r="D23" s="27">
        <f>SUM(D15:D22)</f>
        <v>340975</v>
      </c>
      <c r="E23" s="27">
        <f>SUM(E15:E22)</f>
        <v>27930</v>
      </c>
      <c r="F23" s="27">
        <f>SUM(F15:F22)</f>
        <v>313045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528931</v>
      </c>
      <c r="D24" s="27">
        <f>D13+D23</f>
        <v>576122</v>
      </c>
      <c r="E24" s="27">
        <f>E13+E23</f>
        <v>47191</v>
      </c>
      <c r="F24" s="27">
        <f>F13+F23</f>
        <v>528931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'[38]Sheet1'!$N$12</f>
        <v>425452</v>
      </c>
      <c r="D29" s="36">
        <f>'[38]Sheet1'!$R$12</f>
        <v>463411</v>
      </c>
      <c r="E29" s="36">
        <f>D29-C29</f>
        <v>37959</v>
      </c>
      <c r="F29" s="36">
        <f>'[38]Sheet1'!$U$12</f>
        <v>171819</v>
      </c>
      <c r="G29" s="36">
        <f>C29-F29</f>
        <v>253633</v>
      </c>
      <c r="H29" s="63"/>
      <c r="I29" s="62"/>
    </row>
    <row r="30" spans="2:9" ht="13.5" thickBot="1">
      <c r="B30" s="26" t="s">
        <v>28</v>
      </c>
      <c r="C30" s="37">
        <f>C29</f>
        <v>425452</v>
      </c>
      <c r="D30" s="37">
        <f>D29</f>
        <v>463411</v>
      </c>
      <c r="E30" s="37">
        <f>E29</f>
        <v>37959</v>
      </c>
      <c r="F30" s="37">
        <f>F29</f>
        <v>171819</v>
      </c>
      <c r="G30" s="37">
        <f>G29</f>
        <v>253633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'[38]Sheet1'!$N$33</f>
        <v>338093</v>
      </c>
      <c r="D35" s="21">
        <f>'[38]Sheet1'!$R$33</f>
        <v>368258</v>
      </c>
      <c r="E35" s="21">
        <f>D35-C35</f>
        <v>30165</v>
      </c>
      <c r="F35" s="21">
        <f>C35</f>
        <v>338093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2304921.92</f>
        <v>2304921.92</v>
      </c>
      <c r="D37" s="21">
        <f>2108628.54+101165.42</f>
        <v>2209793.96</v>
      </c>
      <c r="E37" s="21">
        <f>D37-C37</f>
        <v>-95127.95999999996</v>
      </c>
      <c r="F37" s="21">
        <f>'[38]Sheet1'!$T$36</f>
        <v>2470339</v>
      </c>
      <c r="G37" s="21">
        <f>C37-F37</f>
        <v>-165417.08000000007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2643014.92</v>
      </c>
      <c r="D39" s="37">
        <f>D35+D37</f>
        <v>2578051.96</v>
      </c>
      <c r="E39" s="37">
        <f>E35+E37</f>
        <v>-64962.95999999996</v>
      </c>
      <c r="F39" s="37">
        <f>F35+F37</f>
        <v>2808432</v>
      </c>
      <c r="G39" s="37">
        <f>G35+G37</f>
        <v>-165417.08000000007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20187.040000000037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85150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-64962.95999999996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-165417.08000000007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-165417.08000000007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253633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253633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90943.73999999993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-326462.09-309641.26</f>
        <v>-636103.3500000001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-545159.6100000001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22">
      <selection activeCell="F37" sqref="F37:F38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160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'[39]Sheet1'!$N$15</f>
        <v>185035</v>
      </c>
      <c r="D10" s="21">
        <f>'[39]Sheet1'!$R$15</f>
        <v>183050</v>
      </c>
      <c r="E10" s="21">
        <f>D10-C10</f>
        <v>-1985</v>
      </c>
      <c r="F10" s="21">
        <f>'[39]Sheet1'!$T$15</f>
        <v>185035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185035</v>
      </c>
      <c r="D13" s="27">
        <f>D10</f>
        <v>183050</v>
      </c>
      <c r="E13" s="27">
        <f>E10</f>
        <v>-1985</v>
      </c>
      <c r="F13" s="27">
        <f>F10</f>
        <v>185035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'[39]Sheet1'!$N$18</f>
        <v>75274</v>
      </c>
      <c r="D16" s="31">
        <f>'[39]Sheet1'!$R$18</f>
        <v>74466</v>
      </c>
      <c r="E16" s="31">
        <f aca="true" t="shared" si="0" ref="E16:E22">D16-C16</f>
        <v>-808</v>
      </c>
      <c r="F16" s="31">
        <f>'[39]Sheet1'!$T$18</f>
        <v>75274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'[39]Sheet1'!$N$19</f>
        <v>6498</v>
      </c>
      <c r="D17" s="31">
        <f>'[39]Sheet1'!$R$19</f>
        <v>6429</v>
      </c>
      <c r="E17" s="31">
        <f t="shared" si="0"/>
        <v>-69</v>
      </c>
      <c r="F17" s="31">
        <f>'[39]Sheet1'!$T$19</f>
        <v>6498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'[39]Sheet1'!$N$20</f>
        <v>14482</v>
      </c>
      <c r="D18" s="31">
        <f>'[39]Sheet1'!$R$20</f>
        <v>14327</v>
      </c>
      <c r="E18" s="31">
        <f t="shared" si="0"/>
        <v>-155</v>
      </c>
      <c r="F18" s="31">
        <f>'[39]Sheet1'!$T$20</f>
        <v>14482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'[39]Sheet1'!$N$26</f>
        <v>132074</v>
      </c>
      <c r="D21" s="31">
        <f>'[39]Sheet1'!$R$26</f>
        <v>130657</v>
      </c>
      <c r="E21" s="31">
        <f t="shared" si="0"/>
        <v>-1417</v>
      </c>
      <c r="F21" s="31">
        <f>'[39]Sheet1'!$T$26</f>
        <v>132074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'[39]Sheet1'!$N$41+'[39]Sheet1'!$N$42</f>
        <v>23650</v>
      </c>
      <c r="D22" s="31">
        <f>'[39]Sheet1'!$R$41+'[39]Sheet1'!$R$42</f>
        <v>23396</v>
      </c>
      <c r="E22" s="31">
        <f t="shared" si="0"/>
        <v>-254</v>
      </c>
      <c r="F22" s="31">
        <f>'[39]Sheet1'!$T$41+'[39]Sheet1'!$T$42</f>
        <v>23650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251978</v>
      </c>
      <c r="D23" s="27">
        <f>SUM(D15:D22)</f>
        <v>249275</v>
      </c>
      <c r="E23" s="27">
        <f>SUM(E15:E22)</f>
        <v>-2703</v>
      </c>
      <c r="F23" s="27">
        <f>SUM(F15:F22)</f>
        <v>251978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437013</v>
      </c>
      <c r="D24" s="27">
        <f>D13+D23</f>
        <v>432325</v>
      </c>
      <c r="E24" s="27">
        <f>E13+E23</f>
        <v>-4688</v>
      </c>
      <c r="F24" s="27">
        <f>F13+F23</f>
        <v>437013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'[39]Sheet1'!$N$12</f>
        <v>359908</v>
      </c>
      <c r="D29" s="36">
        <f>'[39]Sheet1'!$R$12</f>
        <v>356047</v>
      </c>
      <c r="E29" s="36">
        <f>D29-C29</f>
        <v>-3861</v>
      </c>
      <c r="F29" s="36">
        <f>'[39]Sheet1'!$U$12</f>
        <v>104547</v>
      </c>
      <c r="G29" s="36">
        <f>C29-F29</f>
        <v>255361</v>
      </c>
      <c r="H29" s="63"/>
      <c r="I29" s="62"/>
    </row>
    <row r="30" spans="2:9" ht="13.5" thickBot="1">
      <c r="B30" s="26" t="s">
        <v>28</v>
      </c>
      <c r="C30" s="37">
        <f>C29</f>
        <v>359908</v>
      </c>
      <c r="D30" s="37">
        <f>D29</f>
        <v>356047</v>
      </c>
      <c r="E30" s="37">
        <f>E29</f>
        <v>-3861</v>
      </c>
      <c r="F30" s="37">
        <f>F29</f>
        <v>104547</v>
      </c>
      <c r="G30" s="37">
        <f>G29</f>
        <v>255361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'[39]Sheet1'!$N$33</f>
        <v>299121</v>
      </c>
      <c r="D35" s="21">
        <f>'[39]Sheet1'!$R$33</f>
        <v>295913</v>
      </c>
      <c r="E35" s="21">
        <f>D35-C35</f>
        <v>-3208</v>
      </c>
      <c r="F35" s="21">
        <f>C35</f>
        <v>299121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1857062.81</f>
        <v>1857062.81</v>
      </c>
      <c r="D37" s="21">
        <f>1715125.96+92023.66</f>
        <v>1807149.6199999999</v>
      </c>
      <c r="E37" s="21">
        <f>D37-C37</f>
        <v>-49913.19000000018</v>
      </c>
      <c r="F37" s="21">
        <f>'[39]Sheet1'!$T$36</f>
        <v>1833441</v>
      </c>
      <c r="G37" s="21">
        <f>C37-F37</f>
        <v>23621.810000000056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2156183.81</v>
      </c>
      <c r="D39" s="37">
        <f>D35+D37</f>
        <v>2103062.62</v>
      </c>
      <c r="E39" s="37">
        <f>E35+E37</f>
        <v>-53121.19000000018</v>
      </c>
      <c r="F39" s="37">
        <f>F35+F37</f>
        <v>2132562</v>
      </c>
      <c r="G39" s="37">
        <f>G35+G37</f>
        <v>23621.810000000056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79</v>
      </c>
      <c r="C42" s="62"/>
      <c r="D42" s="62"/>
      <c r="E42" s="62"/>
      <c r="F42" s="62"/>
      <c r="G42" s="44">
        <f>F44+F45</f>
        <v>-61670.19000000018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-8549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-53121.19000000018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0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0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278982.81000000006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255361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23621.810000000056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281710.63000000006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-230376.28-192161.96</f>
        <v>-422538.24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-140827.60999999993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="33" customFormat="1" ht="12.75">
      <c r="C74" s="59" t="s">
        <v>54</v>
      </c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6" ht="15">
      <c r="B76" s="60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25">
      <selection activeCell="J30" sqref="J30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161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9.75" customHeight="1">
      <c r="B4" s="8"/>
      <c r="C4" s="9"/>
      <c r="D4" s="9"/>
      <c r="E4" s="9"/>
      <c r="F4" s="9"/>
    </row>
    <row r="5" spans="2:6" ht="12" customHeight="1">
      <c r="B5" s="8"/>
      <c r="C5" s="9"/>
      <c r="D5" s="9"/>
      <c r="E5" s="9"/>
      <c r="F5" s="9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'[40]Sheet1'!$N$15</f>
        <v>217203</v>
      </c>
      <c r="D10" s="21">
        <f>'[40]Sheet1'!$R$15</f>
        <v>240055</v>
      </c>
      <c r="E10" s="21">
        <f>D10-C10</f>
        <v>22852</v>
      </c>
      <c r="F10" s="21">
        <f>'[40]Sheet1'!$T$15</f>
        <v>217203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217203</v>
      </c>
      <c r="D13" s="27">
        <f>D10</f>
        <v>240055</v>
      </c>
      <c r="E13" s="27">
        <f>E10</f>
        <v>22852</v>
      </c>
      <c r="F13" s="27">
        <f>F10</f>
        <v>217203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'[40]Sheet1'!$N$18</f>
        <v>93081</v>
      </c>
      <c r="D16" s="31">
        <f>'[40]Sheet1'!$R$18</f>
        <v>102874</v>
      </c>
      <c r="E16" s="31">
        <f aca="true" t="shared" si="0" ref="E16:E22">D16-C16</f>
        <v>9793</v>
      </c>
      <c r="F16" s="31">
        <f>'[40]Sheet1'!$T$18</f>
        <v>93081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'[40]Sheet1'!$N$19</f>
        <v>8044</v>
      </c>
      <c r="D17" s="31">
        <f>'[40]Sheet1'!$R$19</f>
        <v>8890</v>
      </c>
      <c r="E17" s="31">
        <f t="shared" si="0"/>
        <v>846</v>
      </c>
      <c r="F17" s="31">
        <f>'[40]Sheet1'!$T$19</f>
        <v>8044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'[40]Sheet1'!$N$20</f>
        <v>17812</v>
      </c>
      <c r="D18" s="31">
        <f>'[40]Sheet1'!$R$20</f>
        <v>19686</v>
      </c>
      <c r="E18" s="31">
        <f t="shared" si="0"/>
        <v>1874</v>
      </c>
      <c r="F18" s="31">
        <f>'[40]Sheet1'!$T$20</f>
        <v>17812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f>C20</f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'[40]Sheet1'!$N$26</f>
        <v>162691</v>
      </c>
      <c r="D21" s="31">
        <f>'[40]Sheet1'!$R$26</f>
        <v>179808</v>
      </c>
      <c r="E21" s="31">
        <f t="shared" si="0"/>
        <v>17117</v>
      </c>
      <c r="F21" s="31">
        <f>'[40]Sheet1'!$T$26</f>
        <v>162691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'[40]Sheet1'!$N$41+'[40]Sheet1'!$N$42</f>
        <v>29314</v>
      </c>
      <c r="D22" s="31">
        <f>'[40]Sheet1'!$R$41+'[40]Sheet1'!$R$42</f>
        <v>32398</v>
      </c>
      <c r="E22" s="31">
        <f t="shared" si="0"/>
        <v>3084</v>
      </c>
      <c r="F22" s="31">
        <f>'[40]Sheet1'!$T$41+'[40]Sheet1'!$T$42</f>
        <v>29314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310942</v>
      </c>
      <c r="D23" s="27">
        <f>SUM(D15:D22)</f>
        <v>343656</v>
      </c>
      <c r="E23" s="27">
        <f>SUM(E15:E22)</f>
        <v>32714</v>
      </c>
      <c r="F23" s="27">
        <f>SUM(F15:F22)</f>
        <v>310942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528145</v>
      </c>
      <c r="D24" s="27">
        <f>D13+D23</f>
        <v>583711</v>
      </c>
      <c r="E24" s="27">
        <f>E13+E23</f>
        <v>55566</v>
      </c>
      <c r="F24" s="27">
        <f>F13+F23</f>
        <v>528145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'[40]Sheet1'!$N$12</f>
        <v>431988</v>
      </c>
      <c r="D29" s="36">
        <f>'[40]Sheet1'!$R$12</f>
        <v>477438</v>
      </c>
      <c r="E29" s="36">
        <f>D29-C29</f>
        <v>45450</v>
      </c>
      <c r="F29" s="36">
        <v>319822</v>
      </c>
      <c r="G29" s="36">
        <f>C29-F29</f>
        <v>112166</v>
      </c>
      <c r="H29" s="63"/>
      <c r="I29" s="62"/>
    </row>
    <row r="30" spans="2:9" ht="13.5" thickBot="1">
      <c r="B30" s="26" t="s">
        <v>28</v>
      </c>
      <c r="C30" s="37">
        <f>C29</f>
        <v>431988</v>
      </c>
      <c r="D30" s="37">
        <f>D29</f>
        <v>477438</v>
      </c>
      <c r="E30" s="37">
        <f>E29</f>
        <v>45450</v>
      </c>
      <c r="F30" s="37">
        <f>F29</f>
        <v>319822</v>
      </c>
      <c r="G30" s="37">
        <f>G29</f>
        <v>112166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33</v>
      </c>
      <c r="C35" s="21">
        <f>'[40]Sheet1'!$N$33</f>
        <v>445929</v>
      </c>
      <c r="D35" s="21">
        <f>'[40]Sheet1'!$R$33</f>
        <v>492845</v>
      </c>
      <c r="E35" s="21">
        <f>D35-C35</f>
        <v>46916</v>
      </c>
      <c r="F35" s="21">
        <f>C35</f>
        <v>445929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2502408.19</v>
      </c>
      <c r="D37" s="21">
        <f>2400806.37+119710.69</f>
        <v>2520517.06</v>
      </c>
      <c r="E37" s="21">
        <f>D37-C37</f>
        <v>18108.87000000011</v>
      </c>
      <c r="F37" s="21">
        <f>'[40]Sheet1'!$T$36</f>
        <v>2548771</v>
      </c>
      <c r="G37" s="21">
        <f>C37-F37</f>
        <v>-46362.810000000056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2948337.19</v>
      </c>
      <c r="D39" s="37">
        <f>D35+D37</f>
        <v>3013362.06</v>
      </c>
      <c r="E39" s="37">
        <f>E35+E37</f>
        <v>65024.87000000011</v>
      </c>
      <c r="F39" s="37">
        <f>F35+F37</f>
        <v>2994700</v>
      </c>
      <c r="G39" s="37">
        <f>G35+G37</f>
        <v>-46362.810000000056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166040.8700000001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101016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65024.87000000011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-46362.810000000056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-46362.810000000056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112166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112166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68531.00999999995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-156688.56-158262.23</f>
        <v>-314950.79000000004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-246419.7800000001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25">
      <selection activeCell="F66" sqref="F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162</v>
      </c>
      <c r="E2" s="119"/>
      <c r="F2" s="119"/>
    </row>
    <row r="3" spans="2:6" ht="18.75">
      <c r="B3" s="119"/>
      <c r="D3" s="7" t="s">
        <v>2</v>
      </c>
      <c r="E3" s="119"/>
      <c r="F3" s="119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'[41]Sheet1'!$N$15</f>
        <v>177324</v>
      </c>
      <c r="D10" s="21">
        <f>'[41]Sheet1'!$R$15</f>
        <v>195005</v>
      </c>
      <c r="E10" s="21">
        <f>D10-C10</f>
        <v>17681</v>
      </c>
      <c r="F10" s="21">
        <f>'[41]Sheet1'!$T$15</f>
        <v>177324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177324</v>
      </c>
      <c r="D13" s="27">
        <f>D10</f>
        <v>195005</v>
      </c>
      <c r="E13" s="27">
        <f>E10</f>
        <v>17681</v>
      </c>
      <c r="F13" s="27">
        <f>F10</f>
        <v>177324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f>'[41]Sheet1'!$N$17</f>
        <v>107677</v>
      </c>
      <c r="D15" s="31">
        <f>'[41]Sheet1'!$R$17</f>
        <v>118413</v>
      </c>
      <c r="E15" s="31">
        <f>D15-C15</f>
        <v>10736</v>
      </c>
      <c r="F15" s="31">
        <f>C15</f>
        <v>107677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'[41]Sheet1'!$N$18</f>
        <v>58834</v>
      </c>
      <c r="D16" s="31">
        <f>'[41]Sheet1'!$R$18</f>
        <v>64700</v>
      </c>
      <c r="E16" s="31">
        <f aca="true" t="shared" si="0" ref="E16:E22">D16-C16</f>
        <v>5866</v>
      </c>
      <c r="F16" s="31">
        <f>'[41]Sheet1'!$T$18</f>
        <v>58834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'[41]Sheet1'!$N$19</f>
        <v>3886</v>
      </c>
      <c r="D17" s="31">
        <f>'[41]Sheet1'!$R$19</f>
        <v>4274</v>
      </c>
      <c r="E17" s="31">
        <f t="shared" si="0"/>
        <v>388</v>
      </c>
      <c r="F17" s="31">
        <f>'[41]Sheet1'!$T$19</f>
        <v>3886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'[41]Sheet1'!$N$20</f>
        <v>16651</v>
      </c>
      <c r="D18" s="31">
        <f>'[41]Sheet1'!$R$20</f>
        <v>18311</v>
      </c>
      <c r="E18" s="31">
        <f t="shared" si="0"/>
        <v>1660</v>
      </c>
      <c r="F18" s="31">
        <f>'[41]Sheet1'!$T$20</f>
        <v>16651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f>'[41]Sheet1'!$N$25</f>
        <v>273527</v>
      </c>
      <c r="D19" s="31">
        <f>'[41]Sheet1'!$R$25</f>
        <v>300799</v>
      </c>
      <c r="E19" s="31">
        <f t="shared" si="0"/>
        <v>27272</v>
      </c>
      <c r="F19" s="31">
        <f>C19</f>
        <v>273527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f>'[41]Sheet1'!$N$24</f>
        <v>77705</v>
      </c>
      <c r="D20" s="31">
        <f>'[41]Sheet1'!$R$24</f>
        <v>85453</v>
      </c>
      <c r="E20" s="31">
        <f t="shared" si="0"/>
        <v>7748</v>
      </c>
      <c r="F20" s="31">
        <f>C20</f>
        <v>77705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'[41]Sheet1'!$N$26</f>
        <v>156715</v>
      </c>
      <c r="D21" s="31">
        <f>'[41]Sheet1'!$R$26</f>
        <v>172341</v>
      </c>
      <c r="E21" s="31">
        <f t="shared" si="0"/>
        <v>15626</v>
      </c>
      <c r="F21" s="31">
        <f>'[41]Sheet1'!$T$26</f>
        <v>156715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'[41]Sheet1'!$N$41+'[41]Sheet1'!$N$42</f>
        <v>18316</v>
      </c>
      <c r="D22" s="31">
        <f>'[41]Sheet1'!$R$41+'[41]Sheet1'!$R$42</f>
        <v>20143</v>
      </c>
      <c r="E22" s="31">
        <f t="shared" si="0"/>
        <v>1827</v>
      </c>
      <c r="F22" s="31">
        <f>'[41]Sheet1'!$T$41+'[41]Sheet1'!$T$42</f>
        <v>18316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713311</v>
      </c>
      <c r="D23" s="27">
        <f>SUM(D15:D22)</f>
        <v>784434</v>
      </c>
      <c r="E23" s="27">
        <f>SUM(E15:E22)</f>
        <v>71123</v>
      </c>
      <c r="F23" s="27">
        <f>SUM(F15:F22)</f>
        <v>713311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890635</v>
      </c>
      <c r="D24" s="27">
        <f>D13+D23</f>
        <v>979439</v>
      </c>
      <c r="E24" s="27">
        <f>E13+E23</f>
        <v>88804</v>
      </c>
      <c r="F24" s="27">
        <f>F13+F23</f>
        <v>890635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'[41]Sheet1'!$N$12</f>
        <v>369655</v>
      </c>
      <c r="D29" s="36">
        <f>'[41]Sheet1'!$R$12</f>
        <v>406512</v>
      </c>
      <c r="E29" s="36">
        <f>D29-C29</f>
        <v>36857</v>
      </c>
      <c r="F29" s="36">
        <f>'[41]Sheet1'!$U$12</f>
        <v>253797</v>
      </c>
      <c r="G29" s="36">
        <f>C29-F29</f>
        <v>115858</v>
      </c>
      <c r="H29" s="63"/>
      <c r="I29" s="62"/>
    </row>
    <row r="30" spans="2:9" ht="13.5" thickBot="1">
      <c r="B30" s="26" t="s">
        <v>28</v>
      </c>
      <c r="C30" s="37">
        <f>C29</f>
        <v>369655</v>
      </c>
      <c r="D30" s="37">
        <f>D29</f>
        <v>406512</v>
      </c>
      <c r="E30" s="37">
        <f>E29</f>
        <v>36857</v>
      </c>
      <c r="F30" s="37">
        <f>F29</f>
        <v>253797</v>
      </c>
      <c r="G30" s="37">
        <f>G29</f>
        <v>115858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'[41]Sheet1'!$N$33</f>
        <v>393594</v>
      </c>
      <c r="D35" s="21">
        <f>'[41]Sheet1'!$R$33</f>
        <v>432838</v>
      </c>
      <c r="E35" s="21">
        <f>D35-C35</f>
        <v>39244</v>
      </c>
      <c r="F35" s="21">
        <f>C35</f>
        <v>393594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v>1937883.97</v>
      </c>
      <c r="D37" s="21">
        <f>1830195.14+102827.79</f>
        <v>1933022.93</v>
      </c>
      <c r="E37" s="21">
        <f>D37-C37</f>
        <v>-4861.040000000037</v>
      </c>
      <c r="F37" s="21">
        <f>'[41]Sheet1'!$T$36</f>
        <v>2741132</v>
      </c>
      <c r="G37" s="21">
        <f>C37-F37</f>
        <v>-803248.03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2331477.9699999997</v>
      </c>
      <c r="D39" s="37">
        <f>D35+D37</f>
        <v>2365860.9299999997</v>
      </c>
      <c r="E39" s="37">
        <f>E35+E37</f>
        <v>34382.95999999996</v>
      </c>
      <c r="F39" s="37">
        <f>F35+F37</f>
        <v>3134726</v>
      </c>
      <c r="G39" s="37">
        <f>G35+G37</f>
        <v>-803248.03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160043.95999999996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125661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34382.95999999996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-803248.03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-803248.03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115858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115858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1627.82+400+700+1800*4</f>
        <v>9927.82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-677462.2100000001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-176407.88-171302.97</f>
        <v>-347710.85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-1025173.06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121"/>
      <c r="C72" s="121"/>
      <c r="D72" s="121"/>
      <c r="E72" s="121"/>
      <c r="F72" s="121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121"/>
      <c r="D75" s="121"/>
      <c r="E75" s="121"/>
      <c r="F75" s="121"/>
    </row>
    <row r="76" spans="2:6" ht="14.25">
      <c r="B76" s="121"/>
      <c r="C76" s="121"/>
      <c r="D76" s="121"/>
      <c r="E76" s="121"/>
      <c r="F76" s="121"/>
    </row>
    <row r="77" spans="2:6" ht="14.25">
      <c r="B77" s="121"/>
      <c r="C77" s="121"/>
      <c r="D77" s="121"/>
      <c r="E77" s="121"/>
      <c r="F77" s="121"/>
    </row>
    <row r="78" spans="2:6" ht="14.25">
      <c r="B78" s="121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24">
      <selection activeCell="F66" sqref="F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163</v>
      </c>
      <c r="E2" s="119"/>
      <c r="F2" s="119"/>
    </row>
    <row r="3" spans="1:6" ht="18.75">
      <c r="A3" s="4"/>
      <c r="B3" s="3"/>
      <c r="D3" s="7" t="s">
        <v>2</v>
      </c>
      <c r="E3" s="3"/>
      <c r="F3" s="3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'[42]Sheet1'!$N$15</f>
        <v>92092</v>
      </c>
      <c r="D10" s="21">
        <f>'[42]Sheet1'!$R$15</f>
        <v>108049</v>
      </c>
      <c r="E10" s="21">
        <f>D10-C10</f>
        <v>15957</v>
      </c>
      <c r="F10" s="21">
        <f>'[42]Sheet1'!$T$15</f>
        <v>92092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92092</v>
      </c>
      <c r="D13" s="27">
        <f>D10</f>
        <v>108049</v>
      </c>
      <c r="E13" s="27">
        <f>E10</f>
        <v>15957</v>
      </c>
      <c r="F13" s="27">
        <f>F10</f>
        <v>92092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'[42]Sheet1'!$N$18</f>
        <v>42008</v>
      </c>
      <c r="D16" s="31">
        <f>'[42]Sheet1'!$R$18</f>
        <v>49287</v>
      </c>
      <c r="E16" s="31">
        <f aca="true" t="shared" si="0" ref="E16:E22">D16-C16</f>
        <v>7279</v>
      </c>
      <c r="F16" s="31">
        <f>'[42]Sheet1'!$T$18</f>
        <v>42008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'[42]Sheet1'!$N$19</f>
        <v>3623</v>
      </c>
      <c r="D17" s="31">
        <f>'[42]Sheet1'!$R$19</f>
        <v>4251</v>
      </c>
      <c r="E17" s="31">
        <f t="shared" si="0"/>
        <v>628</v>
      </c>
      <c r="F17" s="31">
        <f>'[42]Sheet1'!$T$19</f>
        <v>3623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'[42]Sheet1'!$N$20</f>
        <v>8119</v>
      </c>
      <c r="D18" s="31">
        <f>'[42]Sheet1'!$R$20</f>
        <v>9526</v>
      </c>
      <c r="E18" s="31">
        <f t="shared" si="0"/>
        <v>1407</v>
      </c>
      <c r="F18" s="31">
        <f>'[42]Sheet1'!$T$20</f>
        <v>8119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'[42]Sheet1'!$N$26</f>
        <v>73989</v>
      </c>
      <c r="D21" s="31">
        <f>'[42]Sheet1'!$R$26</f>
        <v>86810</v>
      </c>
      <c r="E21" s="31">
        <f t="shared" si="0"/>
        <v>12821</v>
      </c>
      <c r="F21" s="31">
        <f>'[42]Sheet1'!$T$26</f>
        <v>73989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'[42]Sheet1'!$N$41+'[42]Sheet1'!$N$42</f>
        <v>13175</v>
      </c>
      <c r="D22" s="31">
        <f>'[42]Sheet1'!$R$41+'[42]Sheet1'!$R$42</f>
        <v>15457</v>
      </c>
      <c r="E22" s="31">
        <f t="shared" si="0"/>
        <v>2282</v>
      </c>
      <c r="F22" s="31">
        <f>'[42]Sheet1'!$T$41+'[42]Sheet1'!$T$42</f>
        <v>13175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140914</v>
      </c>
      <c r="D23" s="27">
        <f>SUM(D15:D22)</f>
        <v>165331</v>
      </c>
      <c r="E23" s="27">
        <f>SUM(E15:E22)</f>
        <v>24417</v>
      </c>
      <c r="F23" s="27">
        <f>SUM(F15:F22)</f>
        <v>140914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233006</v>
      </c>
      <c r="D24" s="27">
        <f>D13+D23</f>
        <v>273380</v>
      </c>
      <c r="E24" s="27">
        <f>E13+E23</f>
        <v>40374</v>
      </c>
      <c r="F24" s="27">
        <f>F13+F23</f>
        <v>233006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'[42]Sheet1'!$N$12</f>
        <v>189514</v>
      </c>
      <c r="D29" s="36">
        <f>'[42]Sheet1'!$R$12</f>
        <v>222352</v>
      </c>
      <c r="E29" s="36">
        <f>D29-C29</f>
        <v>32838</v>
      </c>
      <c r="F29" s="36">
        <f>'[42]Sheet1'!$U$12</f>
        <v>100768</v>
      </c>
      <c r="G29" s="36">
        <f>C29-F29</f>
        <v>88746</v>
      </c>
      <c r="H29" s="63"/>
      <c r="I29" s="62"/>
    </row>
    <row r="30" spans="2:9" ht="13.5" thickBot="1">
      <c r="B30" s="26" t="s">
        <v>28</v>
      </c>
      <c r="C30" s="37">
        <f>C29</f>
        <v>189514</v>
      </c>
      <c r="D30" s="37">
        <f>D29</f>
        <v>222352</v>
      </c>
      <c r="E30" s="37">
        <f>E29</f>
        <v>32838</v>
      </c>
      <c r="F30" s="37">
        <f>F29</f>
        <v>100768</v>
      </c>
      <c r="G30" s="37">
        <f>G29</f>
        <v>88746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'[42]Sheet1'!$N$33</f>
        <v>153747</v>
      </c>
      <c r="D35" s="21">
        <f>'[42]Sheet1'!$R$33</f>
        <v>180387</v>
      </c>
      <c r="E35" s="21">
        <f>D35-C35</f>
        <v>26640</v>
      </c>
      <c r="F35" s="21">
        <f>C35</f>
        <v>153747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1102383.28</f>
        <v>1102383.28</v>
      </c>
      <c r="D37" s="21">
        <f>874458.95+160088.99</f>
        <v>1034547.94</v>
      </c>
      <c r="E37" s="21">
        <f>D37-C37</f>
        <v>-67835.34000000008</v>
      </c>
      <c r="F37" s="21">
        <f>'[42]Sheet1'!$T$36</f>
        <v>1151831</v>
      </c>
      <c r="G37" s="21">
        <f>C37-F37</f>
        <v>-49447.71999999997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1256130.28</v>
      </c>
      <c r="D39" s="37">
        <f>D35+D37</f>
        <v>1214934.94</v>
      </c>
      <c r="E39" s="37">
        <f>E35+E37</f>
        <v>-41195.340000000084</v>
      </c>
      <c r="F39" s="37">
        <f>F35+F37</f>
        <v>1305578</v>
      </c>
      <c r="G39" s="37">
        <f>G35+G37</f>
        <v>-49447.71999999997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32016.659999999916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73212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-41195.340000000084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-49447.71999999997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-49447.71999999997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88746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88746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42026.10000000003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-454173.61-259650.67</f>
        <v>-713824.28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-671798.18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9" ht="12.75">
      <c r="B72" s="33"/>
      <c r="C72" s="62"/>
      <c r="D72" s="62"/>
      <c r="E72" s="62"/>
      <c r="F72" s="62"/>
      <c r="G72" s="62"/>
      <c r="H72" s="62"/>
      <c r="I72" s="62"/>
    </row>
    <row r="73" s="33" customFormat="1" ht="12.75">
      <c r="C73" s="59" t="s">
        <v>54</v>
      </c>
    </row>
    <row r="74" spans="2:6" ht="15">
      <c r="B74" s="60"/>
      <c r="C74" s="121"/>
      <c r="D74" s="121"/>
      <c r="E74" s="121"/>
      <c r="F74" s="121"/>
    </row>
    <row r="75" spans="2:6" ht="14.25">
      <c r="B75" s="121"/>
      <c r="C75" s="121"/>
      <c r="D75" s="121"/>
      <c r="E75" s="121"/>
      <c r="F75" s="121"/>
    </row>
    <row r="76" spans="2:6" ht="14.25">
      <c r="B76" s="121"/>
      <c r="C76" s="121"/>
      <c r="D76" s="121"/>
      <c r="E76" s="121"/>
      <c r="F76" s="121"/>
    </row>
    <row r="77" spans="2:6" ht="14.25">
      <c r="B77" s="121"/>
      <c r="C77" s="121"/>
      <c r="D77" s="121"/>
      <c r="E77" s="121"/>
      <c r="F77" s="121"/>
    </row>
    <row r="78" spans="2:6" ht="14.25">
      <c r="B78" s="121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6">
      <selection activeCell="J66" sqref="J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164</v>
      </c>
      <c r="E2" s="119"/>
      <c r="F2" s="119"/>
    </row>
    <row r="3" spans="1:6" ht="18.75">
      <c r="A3" s="4"/>
      <c r="B3" s="3"/>
      <c r="D3" s="7" t="s">
        <v>2</v>
      </c>
      <c r="E3" s="3"/>
      <c r="F3" s="3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'[43]Sheet1'!$N$15</f>
        <v>94188</v>
      </c>
      <c r="D10" s="21">
        <f>'[43]Sheet1'!$R$15</f>
        <v>93706</v>
      </c>
      <c r="E10" s="21">
        <f>D10-C10</f>
        <v>-482</v>
      </c>
      <c r="F10" s="21">
        <f>'[43]Sheet1'!$T$15</f>
        <v>94188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94188</v>
      </c>
      <c r="D13" s="27">
        <f>D10</f>
        <v>93706</v>
      </c>
      <c r="E13" s="27">
        <f>E10</f>
        <v>-482</v>
      </c>
      <c r="F13" s="27">
        <f>F10</f>
        <v>94188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'[43]Sheet1'!$N$18</f>
        <v>44083</v>
      </c>
      <c r="D16" s="31">
        <f>'[43]Sheet1'!$R$18</f>
        <v>43858</v>
      </c>
      <c r="E16" s="31">
        <f aca="true" t="shared" si="0" ref="E16:E22">D16-C16</f>
        <v>-225</v>
      </c>
      <c r="F16" s="31">
        <f>'[43]Sheet1'!$T$18</f>
        <v>44083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'[43]Sheet1'!$N$19</f>
        <v>3810</v>
      </c>
      <c r="D17" s="31">
        <f>'[43]Sheet1'!$R$19</f>
        <v>3790</v>
      </c>
      <c r="E17" s="31">
        <f t="shared" si="0"/>
        <v>-20</v>
      </c>
      <c r="F17" s="31">
        <f>'[43]Sheet1'!$T$19</f>
        <v>3810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'[43]Sheet1'!$N$20</f>
        <v>8436</v>
      </c>
      <c r="D18" s="31">
        <f>'[43]Sheet1'!$R$20</f>
        <v>8393</v>
      </c>
      <c r="E18" s="31">
        <f t="shared" si="0"/>
        <v>-43</v>
      </c>
      <c r="F18" s="31">
        <f>'[43]Sheet1'!$T$20</f>
        <v>8436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'[43]Sheet1'!$N$26</f>
        <v>77010</v>
      </c>
      <c r="D21" s="31">
        <f>'[43]Sheet1'!$R$26</f>
        <v>76616</v>
      </c>
      <c r="E21" s="31">
        <f t="shared" si="0"/>
        <v>-394</v>
      </c>
      <c r="F21" s="31">
        <f>'[43]Sheet1'!$T$26</f>
        <v>77010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'[43]Sheet1'!$N$41+'[43]Sheet1'!$N$42</f>
        <v>13880</v>
      </c>
      <c r="D22" s="31">
        <f>'[43]Sheet1'!$R$41+'[43]Sheet1'!$R$42</f>
        <v>13809</v>
      </c>
      <c r="E22" s="31">
        <f t="shared" si="0"/>
        <v>-71</v>
      </c>
      <c r="F22" s="31">
        <f>'[43]Sheet1'!$T$41+'[43]Sheet1'!$T$42</f>
        <v>13880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147219</v>
      </c>
      <c r="D23" s="27">
        <f>SUM(D15:D22)</f>
        <v>146466</v>
      </c>
      <c r="E23" s="27">
        <f>SUM(E15:E22)</f>
        <v>-753</v>
      </c>
      <c r="F23" s="27">
        <f>SUM(F15:F22)</f>
        <v>147219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241407</v>
      </c>
      <c r="D24" s="27">
        <f>D13+D23</f>
        <v>240172</v>
      </c>
      <c r="E24" s="27">
        <f>E13+E23</f>
        <v>-1235</v>
      </c>
      <c r="F24" s="27">
        <f>F13+F23</f>
        <v>241407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'[43]Sheet1'!$N$12</f>
        <v>195419</v>
      </c>
      <c r="D29" s="36">
        <f>'[43]Sheet1'!$R$12</f>
        <v>194418</v>
      </c>
      <c r="E29" s="36">
        <f>D29-C29</f>
        <v>-1001</v>
      </c>
      <c r="F29" s="36">
        <f>'[43]Sheet1'!$U$12</f>
        <v>147617</v>
      </c>
      <c r="G29" s="36">
        <f>C29-F29</f>
        <v>47802</v>
      </c>
      <c r="H29" s="63"/>
      <c r="I29" s="62"/>
    </row>
    <row r="30" spans="2:9" ht="13.5" thickBot="1">
      <c r="B30" s="26" t="s">
        <v>28</v>
      </c>
      <c r="C30" s="37">
        <f>C29</f>
        <v>195419</v>
      </c>
      <c r="D30" s="37">
        <f>D29</f>
        <v>194418</v>
      </c>
      <c r="E30" s="37">
        <f>E29</f>
        <v>-1001</v>
      </c>
      <c r="F30" s="37">
        <f>F29</f>
        <v>147617</v>
      </c>
      <c r="G30" s="37">
        <f>G29</f>
        <v>47802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'[43]Sheet1'!$N$33</f>
        <v>205621</v>
      </c>
      <c r="D35" s="21">
        <f>'[43]Sheet1'!$R$33</f>
        <v>204568</v>
      </c>
      <c r="E35" s="21">
        <f>D35-C35</f>
        <v>-1053</v>
      </c>
      <c r="F35" s="21">
        <f>C35</f>
        <v>205621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1196572.9</f>
        <v>1196572.9</v>
      </c>
      <c r="D37" s="21">
        <f>981936.71+116699.31</f>
        <v>1098636.02</v>
      </c>
      <c r="E37" s="21">
        <f>D37-C37</f>
        <v>-97936.87999999989</v>
      </c>
      <c r="F37" s="21">
        <f>'[43]Sheet1'!$T$36</f>
        <v>1397730</v>
      </c>
      <c r="G37" s="21">
        <f>C37-F37</f>
        <v>-201157.1000000001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1402193.9</v>
      </c>
      <c r="D39" s="37">
        <f>D35+D37</f>
        <v>1303204.02</v>
      </c>
      <c r="E39" s="37">
        <f>E35+E37</f>
        <v>-98989.87999999989</v>
      </c>
      <c r="F39" s="37">
        <f>F35+F37</f>
        <v>1603351</v>
      </c>
      <c r="G39" s="37">
        <f>G35+G37</f>
        <v>-201157.1000000001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-101225.87999999989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-2236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-98989.87999999989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-201157.1000000001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0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-201157.1000000001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47802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47802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0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-150627.2800000001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-194783.84-194105.54</f>
        <v>-388889.38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-539516.6600000001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121"/>
      <c r="C72" s="121"/>
      <c r="D72" s="121"/>
      <c r="E72" s="121"/>
      <c r="F72" s="12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="33" customFormat="1" ht="12.75">
      <c r="C74" s="59" t="s">
        <v>54</v>
      </c>
    </row>
    <row r="75" spans="2:6" ht="15">
      <c r="B75" s="60"/>
      <c r="C75" s="121"/>
      <c r="D75" s="121"/>
      <c r="E75" s="121"/>
      <c r="F75" s="121"/>
    </row>
    <row r="76" spans="2:6" ht="14.25">
      <c r="B76" s="121"/>
      <c r="C76" s="121"/>
      <c r="D76" s="121"/>
      <c r="E76" s="121"/>
      <c r="F76" s="121"/>
    </row>
    <row r="77" spans="2:6" ht="14.25">
      <c r="B77" s="121"/>
      <c r="C77" s="121"/>
      <c r="D77" s="121"/>
      <c r="E77" s="121"/>
      <c r="F77" s="121"/>
    </row>
    <row r="78" spans="2:6" ht="14.25">
      <c r="B78" s="121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25">
      <selection activeCell="F66" sqref="F6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119"/>
      <c r="D1" s="119"/>
      <c r="E1" s="119"/>
      <c r="F1" s="119"/>
    </row>
    <row r="2" spans="1:6" ht="18.75">
      <c r="A2" s="5"/>
      <c r="B2" s="119"/>
      <c r="D2" s="6" t="s">
        <v>165</v>
      </c>
      <c r="E2" s="119"/>
      <c r="F2" s="119"/>
    </row>
    <row r="3" spans="1:6" ht="18.75">
      <c r="A3" s="4"/>
      <c r="B3" s="3"/>
      <c r="D3" s="7" t="s">
        <v>2</v>
      </c>
      <c r="E3" s="3"/>
      <c r="F3" s="3"/>
    </row>
    <row r="4" spans="2:6" ht="9.75" customHeight="1">
      <c r="B4" s="8"/>
      <c r="C4" s="120"/>
      <c r="D4" s="120"/>
      <c r="E4" s="120"/>
      <c r="F4" s="120"/>
    </row>
    <row r="5" spans="2:6" ht="12" customHeight="1">
      <c r="B5" s="8"/>
      <c r="C5" s="120"/>
      <c r="D5" s="120"/>
      <c r="E5" s="120"/>
      <c r="F5" s="120"/>
    </row>
    <row r="6" spans="2:9" ht="13.5" thickBot="1">
      <c r="B6" s="10" t="s">
        <v>3</v>
      </c>
      <c r="C6" s="62"/>
      <c r="D6" s="62"/>
      <c r="E6" s="62"/>
      <c r="F6" s="62"/>
      <c r="G6" s="62"/>
      <c r="H6" s="62"/>
      <c r="I6" s="62"/>
    </row>
    <row r="7" spans="2:9" ht="103.5" customHeight="1" thickBot="1">
      <c r="B7" s="12" t="s">
        <v>4</v>
      </c>
      <c r="C7" s="12" t="s">
        <v>5</v>
      </c>
      <c r="D7" s="13" t="s">
        <v>6</v>
      </c>
      <c r="E7" s="13" t="s">
        <v>7</v>
      </c>
      <c r="F7" s="12" t="s">
        <v>8</v>
      </c>
      <c r="G7" s="12" t="s">
        <v>9</v>
      </c>
      <c r="H7" s="62"/>
      <c r="I7" s="62"/>
    </row>
    <row r="8" spans="2:9" ht="16.5" customHeight="1" thickBot="1">
      <c r="B8" s="14">
        <v>1</v>
      </c>
      <c r="C8" s="15">
        <v>2</v>
      </c>
      <c r="D8" s="15">
        <v>3</v>
      </c>
      <c r="E8" s="15" t="s">
        <v>10</v>
      </c>
      <c r="F8" s="15">
        <v>5</v>
      </c>
      <c r="G8" s="16" t="s">
        <v>11</v>
      </c>
      <c r="H8" s="62"/>
      <c r="I8" s="62"/>
    </row>
    <row r="9" spans="2:9" ht="13.5" thickBot="1">
      <c r="B9" s="17" t="s">
        <v>12</v>
      </c>
      <c r="C9" s="18"/>
      <c r="D9" s="18"/>
      <c r="E9" s="18"/>
      <c r="F9" s="18"/>
      <c r="G9" s="19"/>
      <c r="H9" s="62"/>
      <c r="I9" s="62"/>
    </row>
    <row r="10" spans="2:9" ht="38.25" customHeight="1">
      <c r="B10" s="20" t="s">
        <v>13</v>
      </c>
      <c r="C10" s="21">
        <f>'[44]Sheet1'!$N$15</f>
        <v>95593</v>
      </c>
      <c r="D10" s="21">
        <f>'[44]Sheet1'!$R$15</f>
        <v>107897</v>
      </c>
      <c r="E10" s="21">
        <f>D10-C10</f>
        <v>12304</v>
      </c>
      <c r="F10" s="21">
        <f>'[44]Sheet1'!$T$15</f>
        <v>95593</v>
      </c>
      <c r="G10" s="21">
        <f>C10-F10</f>
        <v>0</v>
      </c>
      <c r="H10" s="62"/>
      <c r="I10" s="63"/>
    </row>
    <row r="11" spans="2:9" ht="26.25" customHeight="1">
      <c r="B11" s="20" t="s">
        <v>14</v>
      </c>
      <c r="C11" s="23"/>
      <c r="D11" s="23"/>
      <c r="E11" s="23"/>
      <c r="F11" s="23"/>
      <c r="G11" s="23"/>
      <c r="H11" s="62"/>
      <c r="I11" s="62"/>
    </row>
    <row r="12" spans="2:9" ht="39" customHeight="1" thickBot="1">
      <c r="B12" s="24" t="s">
        <v>15</v>
      </c>
      <c r="C12" s="25"/>
      <c r="D12" s="25"/>
      <c r="E12" s="25"/>
      <c r="F12" s="25"/>
      <c r="G12" s="25"/>
      <c r="H12" s="62"/>
      <c r="I12" s="62"/>
    </row>
    <row r="13" spans="2:9" ht="13.5" thickBot="1">
      <c r="B13" s="26" t="s">
        <v>16</v>
      </c>
      <c r="C13" s="27">
        <f>C10</f>
        <v>95593</v>
      </c>
      <c r="D13" s="27">
        <f>D10</f>
        <v>107897</v>
      </c>
      <c r="E13" s="27">
        <f>E10</f>
        <v>12304</v>
      </c>
      <c r="F13" s="27">
        <f>F10</f>
        <v>95593</v>
      </c>
      <c r="G13" s="27">
        <f>G10</f>
        <v>0</v>
      </c>
      <c r="H13" s="62"/>
      <c r="I13" s="62"/>
    </row>
    <row r="14" spans="2:9" ht="18.75" customHeight="1" thickBot="1">
      <c r="B14" s="28" t="s">
        <v>17</v>
      </c>
      <c r="C14" s="29"/>
      <c r="D14" s="29"/>
      <c r="E14" s="29"/>
      <c r="F14" s="29"/>
      <c r="G14" s="30"/>
      <c r="H14" s="62"/>
      <c r="I14" s="62"/>
    </row>
    <row r="15" spans="2:9" ht="27" customHeight="1" thickBot="1">
      <c r="B15" s="24" t="s">
        <v>68</v>
      </c>
      <c r="C15" s="31">
        <v>0</v>
      </c>
      <c r="D15" s="31">
        <v>0</v>
      </c>
      <c r="E15" s="31">
        <f>D15-C15</f>
        <v>0</v>
      </c>
      <c r="F15" s="31">
        <f>C15</f>
        <v>0</v>
      </c>
      <c r="G15" s="31">
        <f>C15-F15</f>
        <v>0</v>
      </c>
      <c r="H15" s="62"/>
      <c r="I15" s="62"/>
    </row>
    <row r="16" spans="2:9" ht="27" customHeight="1" thickBot="1">
      <c r="B16" s="24" t="s">
        <v>18</v>
      </c>
      <c r="C16" s="31">
        <f>'[44]Sheet1'!$N$18</f>
        <v>42370</v>
      </c>
      <c r="D16" s="31">
        <f>'[44]Sheet1'!$R$18</f>
        <v>47823</v>
      </c>
      <c r="E16" s="31">
        <f aca="true" t="shared" si="0" ref="E16:E22">D16-C16</f>
        <v>5453</v>
      </c>
      <c r="F16" s="31">
        <f>'[44]Sheet1'!$T$18</f>
        <v>42370</v>
      </c>
      <c r="G16" s="31">
        <f aca="true" t="shared" si="1" ref="G16:G22">C16-F16</f>
        <v>0</v>
      </c>
      <c r="H16" s="62"/>
      <c r="I16" s="62"/>
    </row>
    <row r="17" spans="2:9" ht="19.5" customHeight="1" thickBot="1">
      <c r="B17" s="24" t="s">
        <v>19</v>
      </c>
      <c r="C17" s="31">
        <f>'[44]Sheet1'!$N$19</f>
        <v>3656</v>
      </c>
      <c r="D17" s="31">
        <f>'[44]Sheet1'!$R$19</f>
        <v>4127</v>
      </c>
      <c r="E17" s="31">
        <f t="shared" si="0"/>
        <v>471</v>
      </c>
      <c r="F17" s="31">
        <f>'[44]Sheet1'!$T$19</f>
        <v>3656</v>
      </c>
      <c r="G17" s="31">
        <f t="shared" si="1"/>
        <v>0</v>
      </c>
      <c r="H17" s="62"/>
      <c r="I17" s="62"/>
    </row>
    <row r="18" spans="2:9" ht="21" customHeight="1" thickBot="1">
      <c r="B18" s="24" t="s">
        <v>20</v>
      </c>
      <c r="C18" s="31">
        <f>'[44]Sheet1'!$N$20</f>
        <v>8178</v>
      </c>
      <c r="D18" s="31">
        <f>'[44]Sheet1'!$R$20</f>
        <v>9231</v>
      </c>
      <c r="E18" s="31">
        <f t="shared" si="0"/>
        <v>1053</v>
      </c>
      <c r="F18" s="31">
        <f>'[44]Sheet1'!$T$20</f>
        <v>8178</v>
      </c>
      <c r="G18" s="31">
        <f t="shared" si="1"/>
        <v>0</v>
      </c>
      <c r="H18" s="62"/>
      <c r="I18" s="62"/>
    </row>
    <row r="19" spans="2:9" ht="17.25" customHeight="1" thickBot="1">
      <c r="B19" s="24" t="s">
        <v>56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f t="shared" si="1"/>
        <v>0</v>
      </c>
      <c r="H19" s="62"/>
      <c r="I19" s="62"/>
    </row>
    <row r="20" spans="2:9" ht="17.25" customHeight="1" thickBot="1">
      <c r="B20" s="24" t="s">
        <v>57</v>
      </c>
      <c r="C20" s="31">
        <v>0</v>
      </c>
      <c r="D20" s="31">
        <v>0</v>
      </c>
      <c r="E20" s="31">
        <f t="shared" si="0"/>
        <v>0</v>
      </c>
      <c r="F20" s="31">
        <v>0</v>
      </c>
      <c r="G20" s="31">
        <f t="shared" si="1"/>
        <v>0</v>
      </c>
      <c r="H20" s="62"/>
      <c r="I20" s="62"/>
    </row>
    <row r="21" spans="2:9" ht="25.5" customHeight="1" thickBot="1">
      <c r="B21" s="24" t="s">
        <v>21</v>
      </c>
      <c r="C21" s="31">
        <f>'[44]Sheet1'!$N$26</f>
        <v>74549</v>
      </c>
      <c r="D21" s="31">
        <f>'[44]Sheet1'!$R$26</f>
        <v>84145</v>
      </c>
      <c r="E21" s="31">
        <f t="shared" si="0"/>
        <v>9596</v>
      </c>
      <c r="F21" s="31">
        <f>'[44]Sheet1'!$T$26</f>
        <v>74549</v>
      </c>
      <c r="G21" s="31">
        <f t="shared" si="1"/>
        <v>0</v>
      </c>
      <c r="H21" s="62"/>
      <c r="I21" s="62"/>
    </row>
    <row r="22" spans="2:9" ht="25.5" customHeight="1" thickBot="1">
      <c r="B22" s="24" t="s">
        <v>22</v>
      </c>
      <c r="C22" s="31">
        <f>'[44]Sheet1'!$N$41+'[44]Sheet1'!$N$42</f>
        <v>13293</v>
      </c>
      <c r="D22" s="31">
        <f>'[44]Sheet1'!$R$41+'[44]Sheet1'!$R$42</f>
        <v>15004</v>
      </c>
      <c r="E22" s="31">
        <f t="shared" si="0"/>
        <v>1711</v>
      </c>
      <c r="F22" s="31">
        <f>'[44]Sheet1'!$T$41+'[44]Sheet1'!$T$42</f>
        <v>13293</v>
      </c>
      <c r="G22" s="31">
        <f t="shared" si="1"/>
        <v>0</v>
      </c>
      <c r="H22" s="62"/>
      <c r="I22" s="62"/>
    </row>
    <row r="23" spans="2:9" ht="13.5" thickBot="1">
      <c r="B23" s="26" t="s">
        <v>16</v>
      </c>
      <c r="C23" s="27">
        <f>SUM(C15:C22)</f>
        <v>142046</v>
      </c>
      <c r="D23" s="27">
        <f>SUM(D15:D22)</f>
        <v>160330</v>
      </c>
      <c r="E23" s="27">
        <f>SUM(E15:E22)</f>
        <v>18284</v>
      </c>
      <c r="F23" s="27">
        <f>SUM(F15:F22)</f>
        <v>142046</v>
      </c>
      <c r="G23" s="27">
        <f>SUM(G15:G22)</f>
        <v>0</v>
      </c>
      <c r="H23" s="62"/>
      <c r="I23" s="62"/>
    </row>
    <row r="24" spans="2:9" ht="13.5" thickBot="1">
      <c r="B24" s="32" t="s">
        <v>23</v>
      </c>
      <c r="C24" s="27">
        <f>C13+C23</f>
        <v>237639</v>
      </c>
      <c r="D24" s="27">
        <f>D13+D23</f>
        <v>268227</v>
      </c>
      <c r="E24" s="27">
        <f>E13+E23</f>
        <v>30588</v>
      </c>
      <c r="F24" s="27">
        <f>F13+F23</f>
        <v>237639</v>
      </c>
      <c r="G24" s="27">
        <f>G13+G23</f>
        <v>0</v>
      </c>
      <c r="H24" s="62"/>
      <c r="I24" s="62"/>
    </row>
    <row r="25" spans="2:9" ht="12.75">
      <c r="B25" s="33"/>
      <c r="C25" s="62"/>
      <c r="D25" s="62"/>
      <c r="E25" s="62"/>
      <c r="F25" s="62"/>
      <c r="G25" s="62"/>
      <c r="H25" s="62"/>
      <c r="I25" s="62"/>
    </row>
    <row r="26" spans="2:9" ht="13.5" thickBot="1">
      <c r="B26" s="10" t="s">
        <v>24</v>
      </c>
      <c r="C26" s="62"/>
      <c r="D26" s="62"/>
      <c r="E26" s="62"/>
      <c r="F26" s="62"/>
      <c r="G26" s="62"/>
      <c r="H26" s="62"/>
      <c r="I26" s="62"/>
    </row>
    <row r="27" spans="2:9" ht="105" customHeight="1" thickBot="1">
      <c r="B27" s="34" t="s">
        <v>4</v>
      </c>
      <c r="C27" s="34" t="s">
        <v>5</v>
      </c>
      <c r="D27" s="35" t="s">
        <v>25</v>
      </c>
      <c r="E27" s="35" t="s">
        <v>7</v>
      </c>
      <c r="F27" s="34" t="s">
        <v>26</v>
      </c>
      <c r="G27" s="34" t="s">
        <v>9</v>
      </c>
      <c r="H27" s="62"/>
      <c r="I27" s="62"/>
    </row>
    <row r="28" spans="2:9" ht="13.5" customHeight="1" thickBot="1">
      <c r="B28" s="14">
        <v>1</v>
      </c>
      <c r="C28" s="15">
        <v>2</v>
      </c>
      <c r="D28" s="15">
        <v>3</v>
      </c>
      <c r="E28" s="15" t="s">
        <v>10</v>
      </c>
      <c r="F28" s="15">
        <v>5</v>
      </c>
      <c r="G28" s="16" t="s">
        <v>11</v>
      </c>
      <c r="H28" s="62"/>
      <c r="I28" s="62"/>
    </row>
    <row r="29" spans="2:9" ht="38.25" customHeight="1" thickBot="1">
      <c r="B29" s="24" t="s">
        <v>27</v>
      </c>
      <c r="C29" s="36">
        <f>'[44]Sheet1'!$N$12</f>
        <v>191148</v>
      </c>
      <c r="D29" s="36">
        <f>'[44]Sheet1'!$R$12</f>
        <v>215753</v>
      </c>
      <c r="E29" s="36">
        <f>D29-C29</f>
        <v>24605</v>
      </c>
      <c r="F29" s="36">
        <f>'[44]Sheet1'!$U$12</f>
        <v>219837</v>
      </c>
      <c r="G29" s="36">
        <f>C29-F29</f>
        <v>-28689</v>
      </c>
      <c r="H29" s="63"/>
      <c r="I29" s="62"/>
    </row>
    <row r="30" spans="2:9" ht="13.5" thickBot="1">
      <c r="B30" s="26" t="s">
        <v>28</v>
      </c>
      <c r="C30" s="37">
        <f>C29</f>
        <v>191148</v>
      </c>
      <c r="D30" s="37">
        <f>D29</f>
        <v>215753</v>
      </c>
      <c r="E30" s="37">
        <f>E29</f>
        <v>24605</v>
      </c>
      <c r="F30" s="37">
        <f>F29</f>
        <v>219837</v>
      </c>
      <c r="G30" s="37">
        <f>G29</f>
        <v>-28689</v>
      </c>
      <c r="H30" s="62"/>
      <c r="I30" s="62"/>
    </row>
    <row r="31" spans="2:9" ht="12.75">
      <c r="B31" s="38"/>
      <c r="C31" s="62"/>
      <c r="D31" s="62"/>
      <c r="E31" s="62"/>
      <c r="F31" s="62"/>
      <c r="G31" s="62"/>
      <c r="H31" s="62"/>
      <c r="I31" s="62"/>
    </row>
    <row r="32" spans="2:9" ht="13.5" thickBot="1">
      <c r="B32" s="10" t="s">
        <v>29</v>
      </c>
      <c r="C32" s="62"/>
      <c r="D32" s="62"/>
      <c r="E32" s="62"/>
      <c r="F32" s="62"/>
      <c r="G32" s="62"/>
      <c r="H32" s="62"/>
      <c r="I32" s="62"/>
    </row>
    <row r="33" spans="2:9" ht="103.5" customHeight="1" thickBot="1">
      <c r="B33" s="34" t="s">
        <v>4</v>
      </c>
      <c r="C33" s="13" t="s">
        <v>30</v>
      </c>
      <c r="D33" s="39" t="s">
        <v>31</v>
      </c>
      <c r="E33" s="35" t="s">
        <v>7</v>
      </c>
      <c r="F33" s="13" t="s">
        <v>32</v>
      </c>
      <c r="G33" s="34" t="s">
        <v>9</v>
      </c>
      <c r="H33" s="62"/>
      <c r="I33" s="62"/>
    </row>
    <row r="34" spans="2:9" ht="13.5" customHeight="1" thickBot="1">
      <c r="B34" s="14">
        <v>1</v>
      </c>
      <c r="C34" s="15">
        <v>2</v>
      </c>
      <c r="D34" s="15">
        <v>3</v>
      </c>
      <c r="E34" s="15" t="s">
        <v>10</v>
      </c>
      <c r="F34" s="15">
        <v>5</v>
      </c>
      <c r="G34" s="16" t="s">
        <v>11</v>
      </c>
      <c r="H34" s="62"/>
      <c r="I34" s="62"/>
    </row>
    <row r="35" spans="2:9" ht="16.5" customHeight="1">
      <c r="B35" s="40" t="s">
        <v>73</v>
      </c>
      <c r="C35" s="21">
        <f>'[44]Sheet1'!$N$33</f>
        <v>192560</v>
      </c>
      <c r="D35" s="21">
        <f>'[44]Sheet1'!$R$33</f>
        <v>217346</v>
      </c>
      <c r="E35" s="21">
        <f>D35-C35</f>
        <v>24786</v>
      </c>
      <c r="F35" s="21">
        <f>C35</f>
        <v>192560</v>
      </c>
      <c r="G35" s="21">
        <f>C35-F35</f>
        <v>0</v>
      </c>
      <c r="H35" s="62"/>
      <c r="I35" s="62"/>
    </row>
    <row r="36" spans="2:9" ht="24" customHeight="1" thickBot="1">
      <c r="B36" s="41"/>
      <c r="C36" s="42"/>
      <c r="D36" s="42"/>
      <c r="E36" s="42"/>
      <c r="F36" s="42"/>
      <c r="G36" s="42"/>
      <c r="H36" s="62"/>
      <c r="I36" s="62"/>
    </row>
    <row r="37" spans="2:9" ht="17.25" customHeight="1">
      <c r="B37" s="40" t="s">
        <v>34</v>
      </c>
      <c r="C37" s="21">
        <f>1407648.54</f>
        <v>1407648.54</v>
      </c>
      <c r="D37" s="21">
        <f>1320376.27+99188.41</f>
        <v>1419564.68</v>
      </c>
      <c r="E37" s="21">
        <f>D37-C37</f>
        <v>11916.139999999898</v>
      </c>
      <c r="F37" s="21">
        <f>'[44]Sheet1'!$T$36</f>
        <v>1297107</v>
      </c>
      <c r="G37" s="21">
        <f>C37-F37</f>
        <v>110541.54000000004</v>
      </c>
      <c r="H37" s="62"/>
      <c r="I37" s="62"/>
    </row>
    <row r="38" spans="2:9" ht="13.5" thickBot="1">
      <c r="B38" s="41"/>
      <c r="C38" s="42"/>
      <c r="D38" s="42"/>
      <c r="E38" s="42"/>
      <c r="F38" s="42"/>
      <c r="G38" s="42"/>
      <c r="H38" s="62"/>
      <c r="I38" s="62"/>
    </row>
    <row r="39" spans="2:9" ht="13.5" thickBot="1">
      <c r="B39" s="32" t="s">
        <v>35</v>
      </c>
      <c r="C39" s="37">
        <f>C35+C37</f>
        <v>1600208.54</v>
      </c>
      <c r="D39" s="37">
        <f>D35+D37</f>
        <v>1636910.68</v>
      </c>
      <c r="E39" s="37">
        <f>E35+E37</f>
        <v>36702.1399999999</v>
      </c>
      <c r="F39" s="37">
        <f>F35+F37</f>
        <v>1489667</v>
      </c>
      <c r="G39" s="37">
        <f>G35+G37</f>
        <v>110541.54000000004</v>
      </c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33"/>
      <c r="C41" s="62"/>
      <c r="D41" s="62"/>
      <c r="E41" s="62"/>
      <c r="F41" s="62"/>
      <c r="G41" s="62"/>
      <c r="H41" s="62"/>
      <c r="I41" s="62"/>
    </row>
    <row r="42" spans="2:9" ht="12.75">
      <c r="B42" s="43" t="s">
        <v>36</v>
      </c>
      <c r="C42" s="62"/>
      <c r="D42" s="62"/>
      <c r="E42" s="62"/>
      <c r="F42" s="62"/>
      <c r="G42" s="44">
        <f>F44+F45</f>
        <v>91895.1399999999</v>
      </c>
      <c r="H42" s="62"/>
      <c r="I42" s="62"/>
    </row>
    <row r="43" spans="2:9" ht="12.75">
      <c r="B43" s="45" t="s">
        <v>37</v>
      </c>
      <c r="C43" s="63"/>
      <c r="D43" s="62"/>
      <c r="E43" s="62"/>
      <c r="F43" s="62"/>
      <c r="G43" s="62"/>
      <c r="H43" s="62"/>
      <c r="I43" s="62"/>
    </row>
    <row r="44" spans="2:9" ht="12.75">
      <c r="B44" s="46" t="s">
        <v>58</v>
      </c>
      <c r="C44" s="62"/>
      <c r="D44" s="62"/>
      <c r="E44" s="62"/>
      <c r="F44" s="47">
        <f>(E24+E30)</f>
        <v>55193</v>
      </c>
      <c r="G44" s="62"/>
      <c r="H44" s="62"/>
      <c r="I44" s="62"/>
    </row>
    <row r="45" spans="2:9" ht="12.75">
      <c r="B45" s="46" t="s">
        <v>59</v>
      </c>
      <c r="C45" s="62"/>
      <c r="D45" s="62"/>
      <c r="E45" s="62"/>
      <c r="F45" s="47">
        <f>(E39)</f>
        <v>36702.1399999999</v>
      </c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134</v>
      </c>
      <c r="C47" s="64"/>
      <c r="D47" s="64"/>
      <c r="E47" s="65"/>
      <c r="F47" s="51"/>
      <c r="G47" s="44">
        <f>F49+F50</f>
        <v>-28689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IF((G24+G30)&lt;=0,G24+G30,0)</f>
        <v>-28689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IF(G39&lt;=0,G39,0)</f>
        <v>0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60</v>
      </c>
      <c r="C52" s="64"/>
      <c r="D52" s="64"/>
      <c r="E52" s="65"/>
      <c r="F52" s="51"/>
      <c r="G52" s="44">
        <f>F54+F55</f>
        <v>110541.54000000004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IF((G24+G30)&gt;0,G24+G30,0)</f>
        <v>0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IF(G39&gt;0,G39,0)</f>
        <v>110541.54000000004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</f>
        <v>2727.8199999999997</v>
      </c>
      <c r="H58" s="11"/>
      <c r="I58" s="11"/>
    </row>
    <row r="59" spans="2:9" ht="12.75">
      <c r="B59" s="10"/>
      <c r="C59" s="11"/>
      <c r="D59" s="11"/>
      <c r="E59" s="11"/>
      <c r="F59" s="11"/>
      <c r="G59" s="11"/>
      <c r="H59" s="11"/>
      <c r="I59" s="11"/>
    </row>
    <row r="60" spans="2:9" ht="12.75">
      <c r="B60" s="46"/>
      <c r="C60" s="11"/>
      <c r="D60" s="11"/>
      <c r="E60" s="11"/>
      <c r="F60" s="47"/>
      <c r="G60" s="11"/>
      <c r="H60" s="11"/>
      <c r="I60" s="11"/>
    </row>
    <row r="61" spans="2:9" ht="15.75">
      <c r="B61" s="55" t="s">
        <v>46</v>
      </c>
      <c r="C61" s="11"/>
      <c r="D61" s="11"/>
      <c r="E61" s="11"/>
      <c r="F61" s="56">
        <f>G47+G52+G58</f>
        <v>84580.36000000004</v>
      </c>
      <c r="G61" s="56" t="s">
        <v>47</v>
      </c>
      <c r="H61" s="11"/>
      <c r="I61" s="11"/>
    </row>
    <row r="62" spans="2:9" ht="12.75">
      <c r="B62" s="57" t="s">
        <v>48</v>
      </c>
      <c r="C62" s="11"/>
      <c r="D62" s="11"/>
      <c r="E62" s="11"/>
      <c r="F62" s="47"/>
      <c r="G62" s="11"/>
      <c r="H62" s="11"/>
      <c r="I62" s="11"/>
    </row>
    <row r="63" spans="2:9" ht="12.75">
      <c r="B63" s="57" t="s">
        <v>49</v>
      </c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-196464.96-112174.53</f>
        <v>-308639.49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53</v>
      </c>
      <c r="C69" s="58"/>
      <c r="D69" s="58"/>
      <c r="E69" s="11"/>
      <c r="F69" s="56">
        <f>F61+F65</f>
        <v>-224059.12999999995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121"/>
      <c r="C72" s="121"/>
      <c r="D72" s="121"/>
      <c r="E72" s="121"/>
      <c r="F72" s="121"/>
    </row>
    <row r="73" s="33" customFormat="1" ht="12.75">
      <c r="C73" s="59" t="s">
        <v>54</v>
      </c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6" ht="15">
      <c r="B75" s="60"/>
      <c r="C75" s="121"/>
      <c r="D75" s="121"/>
      <c r="E75" s="121"/>
      <c r="F75" s="121"/>
    </row>
    <row r="76" spans="2:6" ht="14.25">
      <c r="B76" s="121"/>
      <c r="C76" s="121"/>
      <c r="D76" s="121"/>
      <c r="E76" s="121"/>
      <c r="F76" s="121"/>
    </row>
    <row r="77" spans="2:6" ht="14.25">
      <c r="B77" s="121"/>
      <c r="C77" s="121"/>
      <c r="D77" s="121"/>
      <c r="E77" s="121"/>
      <c r="F77" s="121"/>
    </row>
    <row r="78" spans="2:6" ht="14.25">
      <c r="B78" s="121"/>
      <c r="C78" s="121"/>
      <c r="D78" s="121"/>
      <c r="E78" s="121"/>
      <c r="F78" s="121"/>
    </row>
    <row r="79" spans="2:6" ht="14.25">
      <c r="B79" s="121"/>
      <c r="C79" s="121"/>
      <c r="D79" s="121"/>
      <c r="E79" s="121"/>
      <c r="F79" s="121"/>
    </row>
    <row r="80" spans="2:6" ht="14.25">
      <c r="B80" s="121"/>
      <c r="C80" s="121"/>
      <c r="D80" s="121"/>
      <c r="E80" s="121"/>
      <c r="F80" s="121"/>
    </row>
    <row r="81" spans="2:6" ht="14.25">
      <c r="B81" s="121"/>
      <c r="C81" s="121"/>
      <c r="D81" s="121"/>
      <c r="E81" s="121"/>
      <c r="F81" s="121"/>
    </row>
    <row r="82" spans="2:6" ht="14.25">
      <c r="B82" s="121"/>
      <c r="C82" s="121"/>
      <c r="D82" s="121"/>
      <c r="E82" s="121"/>
      <c r="F82" s="121"/>
    </row>
  </sheetData>
  <sheetProtection/>
  <mergeCells count="19">
    <mergeCell ref="B37:B38"/>
    <mergeCell ref="C37:C38"/>
    <mergeCell ref="D37:D38"/>
    <mergeCell ref="E37:E38"/>
    <mergeCell ref="F37:F38"/>
    <mergeCell ref="G37:G38"/>
    <mergeCell ref="B14:G14"/>
    <mergeCell ref="B35:B36"/>
    <mergeCell ref="C35:C36"/>
    <mergeCell ref="D35:D36"/>
    <mergeCell ref="E35:E36"/>
    <mergeCell ref="F35:F36"/>
    <mergeCell ref="G35:G36"/>
    <mergeCell ref="B9:G9"/>
    <mergeCell ref="C10:C12"/>
    <mergeCell ref="D10:D12"/>
    <mergeCell ref="E10:E12"/>
    <mergeCell ref="F10:F12"/>
    <mergeCell ref="G10:G12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51">
      <selection activeCell="A74" sqref="A74:IV74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5.851562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55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'[2]Sheet1'!$N$15</f>
        <v>133830</v>
      </c>
      <c r="D9" s="21">
        <f>'[2]Sheet1'!$R$15</f>
        <v>146651</v>
      </c>
      <c r="E9" s="21">
        <f>D9-C9</f>
        <v>12821</v>
      </c>
      <c r="F9" s="21">
        <f>'[2]Sheet1'!$T$15</f>
        <v>133830</v>
      </c>
      <c r="G9" s="21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23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25"/>
      <c r="H11" s="62"/>
      <c r="I11" s="62"/>
    </row>
    <row r="12" spans="2:9" ht="13.5" thickBot="1">
      <c r="B12" s="26" t="s">
        <v>16</v>
      </c>
      <c r="C12" s="27">
        <f>C9</f>
        <v>133830</v>
      </c>
      <c r="D12" s="27">
        <f>D9</f>
        <v>146651</v>
      </c>
      <c r="E12" s="27">
        <f>E9</f>
        <v>12821</v>
      </c>
      <c r="F12" s="27">
        <f>F9</f>
        <v>133830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18</v>
      </c>
      <c r="C14" s="31">
        <f>'[2]Sheet1'!$N$18</f>
        <v>39876</v>
      </c>
      <c r="D14" s="31">
        <f>'[2]Sheet1'!$R$18</f>
        <v>43696</v>
      </c>
      <c r="E14" s="31">
        <f aca="true" t="shared" si="0" ref="E14:E20">D14-C14</f>
        <v>3820</v>
      </c>
      <c r="F14" s="31">
        <f>'[2]Sheet1'!$T$18</f>
        <v>39876</v>
      </c>
      <c r="G14" s="31">
        <f aca="true" t="shared" si="1" ref="G14:G20">C14-F14</f>
        <v>0</v>
      </c>
      <c r="H14" s="62"/>
      <c r="I14" s="62"/>
    </row>
    <row r="15" spans="2:9" ht="19.5" customHeight="1" thickBot="1">
      <c r="B15" s="24" t="s">
        <v>19</v>
      </c>
      <c r="C15" s="31">
        <f>'[2]Sheet1'!$N$19</f>
        <v>2634</v>
      </c>
      <c r="D15" s="31">
        <f>'[2]Sheet1'!$R$19</f>
        <v>2886</v>
      </c>
      <c r="E15" s="31">
        <f t="shared" si="0"/>
        <v>252</v>
      </c>
      <c r="F15" s="31">
        <f>'[2]Sheet1'!$T$19</f>
        <v>2634</v>
      </c>
      <c r="G15" s="31">
        <f t="shared" si="1"/>
        <v>0</v>
      </c>
      <c r="H15" s="62"/>
      <c r="I15" s="62"/>
    </row>
    <row r="16" spans="2:9" ht="21" customHeight="1" thickBot="1">
      <c r="B16" s="24" t="s">
        <v>20</v>
      </c>
      <c r="C16" s="31">
        <f>'[2]Sheet1'!$N$20</f>
        <v>11286</v>
      </c>
      <c r="D16" s="31">
        <f>'[2]Sheet1'!$R$20</f>
        <v>12367</v>
      </c>
      <c r="E16" s="31">
        <f t="shared" si="0"/>
        <v>1081</v>
      </c>
      <c r="F16" s="31">
        <f>'[2]Sheet1'!$T$20</f>
        <v>11286</v>
      </c>
      <c r="G16" s="31">
        <f t="shared" si="1"/>
        <v>0</v>
      </c>
      <c r="H16" s="62"/>
      <c r="I16" s="62"/>
    </row>
    <row r="17" spans="2:9" ht="17.25" customHeight="1" thickBot="1">
      <c r="B17" s="24" t="s">
        <v>56</v>
      </c>
      <c r="C17" s="31">
        <f>'[2]Sheet1'!$N$25</f>
        <v>179842</v>
      </c>
      <c r="D17" s="31">
        <f>'[2]Sheet1'!$R$25</f>
        <v>197070</v>
      </c>
      <c r="E17" s="31">
        <f t="shared" si="0"/>
        <v>17228</v>
      </c>
      <c r="F17" s="31">
        <f>'[2]Sheet1'!$T$25</f>
        <v>179842</v>
      </c>
      <c r="G17" s="31">
        <f t="shared" si="1"/>
        <v>0</v>
      </c>
      <c r="H17" s="62"/>
      <c r="I17" s="62"/>
    </row>
    <row r="18" spans="2:9" ht="17.25" customHeight="1" thickBot="1">
      <c r="B18" s="24" t="s">
        <v>57</v>
      </c>
      <c r="C18" s="31">
        <f>'[2]Sheet1'!$N$24</f>
        <v>52667</v>
      </c>
      <c r="D18" s="31">
        <f>'[2]Sheet1'!$R$24</f>
        <v>57712</v>
      </c>
      <c r="E18" s="31">
        <f t="shared" si="0"/>
        <v>5045</v>
      </c>
      <c r="F18" s="31">
        <f>'[2]Sheet1'!$T$24</f>
        <v>52667</v>
      </c>
      <c r="G18" s="31">
        <f t="shared" si="1"/>
        <v>0</v>
      </c>
      <c r="H18" s="62"/>
      <c r="I18" s="62"/>
    </row>
    <row r="19" spans="2:9" ht="25.5" customHeight="1" thickBot="1">
      <c r="B19" s="24" t="s">
        <v>21</v>
      </c>
      <c r="C19" s="31">
        <f>'[2]Sheet1'!$N$26</f>
        <v>106463</v>
      </c>
      <c r="D19" s="31">
        <f>'[2]Sheet1'!$R$26</f>
        <v>116662</v>
      </c>
      <c r="E19" s="31">
        <f t="shared" si="0"/>
        <v>10199</v>
      </c>
      <c r="F19" s="31">
        <f>'[2]Sheet1'!$T$26</f>
        <v>106463</v>
      </c>
      <c r="G19" s="31">
        <f t="shared" si="1"/>
        <v>0</v>
      </c>
      <c r="H19" s="62"/>
      <c r="I19" s="62"/>
    </row>
    <row r="20" spans="2:9" ht="25.5" customHeight="1" thickBot="1">
      <c r="B20" s="24" t="s">
        <v>22</v>
      </c>
      <c r="C20" s="31">
        <f>'[2]Sheet1'!$N$41+'[2]Sheet1'!$N$42</f>
        <v>12415</v>
      </c>
      <c r="D20" s="31">
        <f>'[2]Sheet1'!$R$41+'[2]Sheet1'!$R$42</f>
        <v>13604</v>
      </c>
      <c r="E20" s="31">
        <f t="shared" si="0"/>
        <v>1189</v>
      </c>
      <c r="F20" s="31">
        <f>'[2]Sheet1'!$T$41+'[2]Sheet1'!$T$42</f>
        <v>12415</v>
      </c>
      <c r="G20" s="31">
        <f t="shared" si="1"/>
        <v>0</v>
      </c>
      <c r="H20" s="62"/>
      <c r="I20" s="62"/>
    </row>
    <row r="21" spans="2:9" ht="13.5" thickBot="1">
      <c r="B21" s="26" t="s">
        <v>16</v>
      </c>
      <c r="C21" s="27">
        <f>SUM(C14:C20)</f>
        <v>405183</v>
      </c>
      <c r="D21" s="27">
        <f>SUM(D14:D20)</f>
        <v>443997</v>
      </c>
      <c r="E21" s="27">
        <f>SUM(E14:E20)</f>
        <v>38814</v>
      </c>
      <c r="F21" s="27">
        <f>SUM(F14:F20)</f>
        <v>405183</v>
      </c>
      <c r="G21" s="27">
        <f>SUM(G14:G20)</f>
        <v>0</v>
      </c>
      <c r="H21" s="62"/>
      <c r="I21" s="62"/>
    </row>
    <row r="22" spans="2:9" ht="13.5" thickBot="1">
      <c r="B22" s="32" t="s">
        <v>23</v>
      </c>
      <c r="C22" s="27">
        <f>C12+C21</f>
        <v>539013</v>
      </c>
      <c r="D22" s="27">
        <f>D12+D21</f>
        <v>590648</v>
      </c>
      <c r="E22" s="27">
        <f>E12+E21</f>
        <v>51635</v>
      </c>
      <c r="F22" s="27">
        <f>F12+F21</f>
        <v>539013</v>
      </c>
      <c r="G22" s="27">
        <f>G12+G21</f>
        <v>0</v>
      </c>
      <c r="H22" s="62"/>
      <c r="I22" s="62"/>
    </row>
    <row r="23" spans="2:9" ht="12.75">
      <c r="B23" s="33"/>
      <c r="C23" s="62"/>
      <c r="D23" s="62"/>
      <c r="E23" s="62"/>
      <c r="F23" s="62"/>
      <c r="G23" s="62"/>
      <c r="H23" s="62"/>
      <c r="I23" s="62"/>
    </row>
    <row r="24" spans="2:9" ht="13.5" thickBot="1">
      <c r="B24" s="10" t="s">
        <v>24</v>
      </c>
      <c r="C24" s="62"/>
      <c r="D24" s="62"/>
      <c r="E24" s="62"/>
      <c r="F24" s="62"/>
      <c r="G24" s="62"/>
      <c r="H24" s="62"/>
      <c r="I24" s="62"/>
    </row>
    <row r="25" spans="2:9" ht="105" customHeight="1" thickBot="1">
      <c r="B25" s="34" t="s">
        <v>4</v>
      </c>
      <c r="C25" s="34" t="s">
        <v>5</v>
      </c>
      <c r="D25" s="35" t="s">
        <v>25</v>
      </c>
      <c r="E25" s="35" t="s">
        <v>7</v>
      </c>
      <c r="F25" s="34" t="s">
        <v>26</v>
      </c>
      <c r="G25" s="34" t="s">
        <v>9</v>
      </c>
      <c r="H25" s="62"/>
      <c r="I25" s="62"/>
    </row>
    <row r="26" spans="2:9" ht="13.5" customHeight="1" thickBot="1">
      <c r="B26" s="14">
        <v>1</v>
      </c>
      <c r="C26" s="15">
        <v>2</v>
      </c>
      <c r="D26" s="15">
        <v>3</v>
      </c>
      <c r="E26" s="15" t="s">
        <v>10</v>
      </c>
      <c r="F26" s="15">
        <v>5</v>
      </c>
      <c r="G26" s="16" t="s">
        <v>11</v>
      </c>
      <c r="H26" s="62"/>
      <c r="I26" s="62"/>
    </row>
    <row r="27" spans="2:9" ht="38.25" customHeight="1" thickBot="1">
      <c r="B27" s="24" t="s">
        <v>27</v>
      </c>
      <c r="C27" s="36">
        <f>'[2]Sheet1'!$N$12</f>
        <v>250808</v>
      </c>
      <c r="D27" s="36">
        <f>'[2]Sheet1'!$R$12</f>
        <v>274835</v>
      </c>
      <c r="E27" s="36">
        <f>D27-C27</f>
        <v>24027</v>
      </c>
      <c r="F27" s="36">
        <f>'[2]Sheet1'!$U$12</f>
        <v>49720</v>
      </c>
      <c r="G27" s="36">
        <f>C27-F27</f>
        <v>201088</v>
      </c>
      <c r="H27" s="63"/>
      <c r="I27" s="62"/>
    </row>
    <row r="28" spans="2:9" ht="13.5" thickBot="1">
      <c r="B28" s="26" t="s">
        <v>28</v>
      </c>
      <c r="C28" s="37">
        <f>C27</f>
        <v>250808</v>
      </c>
      <c r="D28" s="37">
        <f>D27</f>
        <v>274835</v>
      </c>
      <c r="E28" s="37">
        <f>E27</f>
        <v>24027</v>
      </c>
      <c r="F28" s="37">
        <f>F27</f>
        <v>49720</v>
      </c>
      <c r="G28" s="37">
        <f>G27</f>
        <v>201088</v>
      </c>
      <c r="H28" s="62"/>
      <c r="I28" s="62"/>
    </row>
    <row r="29" spans="2:9" ht="12.75">
      <c r="B29" s="38"/>
      <c r="C29" s="62"/>
      <c r="D29" s="62"/>
      <c r="E29" s="62"/>
      <c r="F29" s="62"/>
      <c r="G29" s="62"/>
      <c r="H29" s="62"/>
      <c r="I29" s="62"/>
    </row>
    <row r="30" spans="2:9" ht="13.5" thickBot="1">
      <c r="B30" s="10" t="s">
        <v>29</v>
      </c>
      <c r="C30" s="62"/>
      <c r="D30" s="62"/>
      <c r="E30" s="62"/>
      <c r="F30" s="62"/>
      <c r="G30" s="62"/>
      <c r="H30" s="62"/>
      <c r="I30" s="62"/>
    </row>
    <row r="31" spans="2:9" ht="103.5" customHeight="1" thickBot="1">
      <c r="B31" s="34" t="s">
        <v>4</v>
      </c>
      <c r="C31" s="13" t="s">
        <v>30</v>
      </c>
      <c r="D31" s="39" t="s">
        <v>31</v>
      </c>
      <c r="E31" s="35" t="s">
        <v>7</v>
      </c>
      <c r="F31" s="13" t="s">
        <v>32</v>
      </c>
      <c r="G31" s="34" t="s">
        <v>9</v>
      </c>
      <c r="H31" s="62"/>
      <c r="I31" s="62"/>
    </row>
    <row r="32" spans="2:9" ht="13.5" customHeight="1" thickBot="1">
      <c r="B32" s="14">
        <v>1</v>
      </c>
      <c r="C32" s="15">
        <v>2</v>
      </c>
      <c r="D32" s="15">
        <v>3</v>
      </c>
      <c r="E32" s="15" t="s">
        <v>10</v>
      </c>
      <c r="F32" s="15">
        <v>5</v>
      </c>
      <c r="G32" s="16" t="s">
        <v>11</v>
      </c>
      <c r="H32" s="62"/>
      <c r="I32" s="62"/>
    </row>
    <row r="33" spans="2:9" ht="16.5" customHeight="1">
      <c r="B33" s="40" t="s">
        <v>33</v>
      </c>
      <c r="C33" s="21">
        <f>'[2]Sheet1'!$N$33</f>
        <v>235162</v>
      </c>
      <c r="D33" s="21">
        <f>'[2]Sheet1'!$R$33</f>
        <v>257690</v>
      </c>
      <c r="E33" s="21">
        <f>D33-C33</f>
        <v>22528</v>
      </c>
      <c r="F33" s="21">
        <f>C33</f>
        <v>235162</v>
      </c>
      <c r="G33" s="21">
        <f>C33-F33</f>
        <v>0</v>
      </c>
      <c r="H33" s="62"/>
      <c r="I33" s="62"/>
    </row>
    <row r="34" spans="2:9" ht="24" customHeight="1" thickBot="1">
      <c r="B34" s="41"/>
      <c r="C34" s="42"/>
      <c r="D34" s="42"/>
      <c r="E34" s="42"/>
      <c r="F34" s="42"/>
      <c r="G34" s="42"/>
      <c r="H34" s="62"/>
      <c r="I34" s="62"/>
    </row>
    <row r="35" spans="2:9" ht="17.25" customHeight="1">
      <c r="B35" s="40" t="s">
        <v>34</v>
      </c>
      <c r="C35" s="21">
        <f>'[2]Sheet1'!$N$36</f>
        <v>1125191</v>
      </c>
      <c r="D35" s="21">
        <f>1070048.77+30033.89</f>
        <v>1100082.66</v>
      </c>
      <c r="E35" s="21">
        <f>D35-C35</f>
        <v>-25108.340000000084</v>
      </c>
      <c r="F35" s="21">
        <f>'[2]Sheet1'!$T$36</f>
        <v>1451140</v>
      </c>
      <c r="G35" s="21">
        <f>C35-F35</f>
        <v>-325949</v>
      </c>
      <c r="H35" s="62"/>
      <c r="I35" s="62"/>
    </row>
    <row r="36" spans="2:9" ht="13.5" thickBot="1">
      <c r="B36" s="41"/>
      <c r="C36" s="42"/>
      <c r="D36" s="42"/>
      <c r="E36" s="42"/>
      <c r="F36" s="42"/>
      <c r="G36" s="42"/>
      <c r="H36" s="62"/>
      <c r="I36" s="62"/>
    </row>
    <row r="37" spans="2:9" ht="13.5" thickBot="1">
      <c r="B37" s="32" t="s">
        <v>35</v>
      </c>
      <c r="C37" s="37">
        <f>C33+C35</f>
        <v>1360353</v>
      </c>
      <c r="D37" s="37">
        <f>D33+D35</f>
        <v>1357772.66</v>
      </c>
      <c r="E37" s="37">
        <f>E33+E35</f>
        <v>-2580.340000000084</v>
      </c>
      <c r="F37" s="37">
        <f>F33+F35</f>
        <v>1686302</v>
      </c>
      <c r="G37" s="37">
        <f>G33+G35</f>
        <v>-325949</v>
      </c>
      <c r="H37" s="62"/>
      <c r="I37" s="62"/>
    </row>
    <row r="38" spans="2:9" ht="12.75">
      <c r="B38" s="33"/>
      <c r="C38" s="62"/>
      <c r="D38" s="62"/>
      <c r="E38" s="62"/>
      <c r="F38" s="62"/>
      <c r="G38" s="62"/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43" t="s">
        <v>36</v>
      </c>
      <c r="C40" s="62"/>
      <c r="D40" s="62"/>
      <c r="E40" s="62"/>
      <c r="F40" s="62"/>
      <c r="G40" s="44">
        <f>F42+F43</f>
        <v>73081.65999999992</v>
      </c>
      <c r="H40" s="62"/>
      <c r="I40" s="62"/>
    </row>
    <row r="41" spans="2:9" ht="12.75">
      <c r="B41" s="45" t="s">
        <v>37</v>
      </c>
      <c r="C41" s="63"/>
      <c r="D41" s="62"/>
      <c r="E41" s="62"/>
      <c r="F41" s="62"/>
      <c r="G41" s="62"/>
      <c r="H41" s="62"/>
      <c r="I41" s="62"/>
    </row>
    <row r="42" spans="2:9" ht="12.75">
      <c r="B42" s="46" t="s">
        <v>58</v>
      </c>
      <c r="C42" s="62"/>
      <c r="D42" s="62"/>
      <c r="E42" s="62"/>
      <c r="F42" s="47">
        <f>(E22+E28)</f>
        <v>75662</v>
      </c>
      <c r="G42" s="62"/>
      <c r="H42" s="62"/>
      <c r="I42" s="62"/>
    </row>
    <row r="43" spans="2:9" ht="12.75">
      <c r="B43" s="46" t="s">
        <v>59</v>
      </c>
      <c r="C43" s="62"/>
      <c r="D43" s="62"/>
      <c r="E43" s="62"/>
      <c r="F43" s="47">
        <f>(E37)</f>
        <v>-2580.340000000084</v>
      </c>
      <c r="G43" s="62"/>
      <c r="H43" s="62"/>
      <c r="I43" s="62"/>
    </row>
    <row r="44" spans="2:9" ht="12.75">
      <c r="B44" s="46"/>
      <c r="C44" s="62"/>
      <c r="D44" s="62"/>
      <c r="E44" s="62"/>
      <c r="F44" s="47"/>
      <c r="G44" s="62"/>
      <c r="H44" s="62"/>
      <c r="I44" s="62"/>
    </row>
    <row r="45" spans="2:9" s="1" customFormat="1" ht="12.75">
      <c r="B45" s="48" t="s">
        <v>40</v>
      </c>
      <c r="C45" s="64"/>
      <c r="D45" s="64"/>
      <c r="E45" s="65"/>
      <c r="F45" s="51"/>
      <c r="G45" s="44">
        <f>F47+F48</f>
        <v>-325949</v>
      </c>
      <c r="H45" s="64"/>
      <c r="I45" s="64"/>
    </row>
    <row r="46" spans="2:9" s="1" customFormat="1" ht="12.75">
      <c r="B46" s="45" t="s">
        <v>37</v>
      </c>
      <c r="C46" s="64"/>
      <c r="D46" s="64"/>
      <c r="E46" s="65"/>
      <c r="F46" s="51"/>
      <c r="G46" s="52"/>
      <c r="H46" s="64"/>
      <c r="I46" s="64"/>
    </row>
    <row r="47" spans="2:9" s="1" customFormat="1" ht="12.75">
      <c r="B47" s="46" t="s">
        <v>41</v>
      </c>
      <c r="C47" s="64"/>
      <c r="D47" s="64"/>
      <c r="E47" s="65"/>
      <c r="F47" s="47">
        <f>IF((G22+G28)&lt;=0,G22+G28,0)</f>
        <v>0</v>
      </c>
      <c r="G47" s="52"/>
      <c r="H47" s="64"/>
      <c r="I47" s="64"/>
    </row>
    <row r="48" spans="2:9" s="1" customFormat="1" ht="12.75">
      <c r="B48" s="46" t="s">
        <v>42</v>
      </c>
      <c r="C48" s="64"/>
      <c r="D48" s="64"/>
      <c r="E48" s="65"/>
      <c r="F48" s="47">
        <f>IF(G37&lt;=0,G37,0)</f>
        <v>-325949</v>
      </c>
      <c r="G48" s="52"/>
      <c r="H48" s="64"/>
      <c r="I48" s="64"/>
    </row>
    <row r="49" spans="2:9" s="1" customFormat="1" ht="12.75">
      <c r="B49" s="46"/>
      <c r="C49" s="64"/>
      <c r="D49" s="64"/>
      <c r="E49" s="65"/>
      <c r="F49" s="51"/>
      <c r="G49" s="52"/>
      <c r="H49" s="64"/>
      <c r="I49" s="64"/>
    </row>
    <row r="50" spans="2:9" s="1" customFormat="1" ht="12.75">
      <c r="B50" s="48" t="s">
        <v>60</v>
      </c>
      <c r="C50" s="64"/>
      <c r="D50" s="64"/>
      <c r="E50" s="65"/>
      <c r="F50" s="51"/>
      <c r="G50" s="44">
        <f>F52+F53</f>
        <v>201088</v>
      </c>
      <c r="H50" s="64"/>
      <c r="I50" s="64"/>
    </row>
    <row r="51" spans="2:9" ht="12.75">
      <c r="B51" s="45" t="s">
        <v>37</v>
      </c>
      <c r="C51" s="62"/>
      <c r="D51" s="62"/>
      <c r="E51" s="62"/>
      <c r="F51" s="33"/>
      <c r="G51" s="52"/>
      <c r="H51" s="62"/>
      <c r="I51" s="62"/>
    </row>
    <row r="52" spans="2:9" ht="12.75">
      <c r="B52" s="46" t="s">
        <v>41</v>
      </c>
      <c r="C52" s="62"/>
      <c r="D52" s="62"/>
      <c r="E52" s="62"/>
      <c r="F52" s="47">
        <f>IF((G22+G28)&gt;0,G22+G28,0)</f>
        <v>201088</v>
      </c>
      <c r="G52" s="62"/>
      <c r="H52" s="62"/>
      <c r="I52" s="62"/>
    </row>
    <row r="53" spans="2:9" ht="12.75">
      <c r="B53" s="46" t="s">
        <v>42</v>
      </c>
      <c r="C53" s="62"/>
      <c r="D53" s="62"/>
      <c r="E53" s="62"/>
      <c r="F53" s="47">
        <f>IF(G37&gt;0,G37,0)</f>
        <v>0</v>
      </c>
      <c r="G53" s="62"/>
      <c r="H53" s="62"/>
      <c r="I53" s="62"/>
    </row>
    <row r="54" spans="2:9" ht="12.75">
      <c r="B54" s="46"/>
      <c r="C54" s="62"/>
      <c r="D54" s="62"/>
      <c r="E54" s="62"/>
      <c r="F54" s="47"/>
      <c r="G54" s="62"/>
      <c r="H54" s="62"/>
      <c r="I54" s="62"/>
    </row>
    <row r="55" spans="2:9" ht="12.75">
      <c r="B55" s="53" t="s">
        <v>44</v>
      </c>
      <c r="C55" s="11"/>
      <c r="D55" s="11"/>
      <c r="E55" s="11"/>
      <c r="F55" s="33"/>
      <c r="G55" s="11"/>
      <c r="H55" s="11"/>
      <c r="I55" s="11"/>
    </row>
    <row r="56" spans="2:9" ht="12.75">
      <c r="B56" s="33" t="s">
        <v>45</v>
      </c>
      <c r="C56" s="11"/>
      <c r="D56" s="11"/>
      <c r="E56" s="54"/>
      <c r="F56" s="51"/>
      <c r="G56" s="44">
        <f>1627.82+400+700+1800*2</f>
        <v>6327.82</v>
      </c>
      <c r="H56" s="11"/>
      <c r="I56" s="11"/>
    </row>
    <row r="57" spans="2:9" ht="12.75">
      <c r="B57" s="10"/>
      <c r="C57" s="11"/>
      <c r="D57" s="11"/>
      <c r="E57" s="11"/>
      <c r="F57" s="11"/>
      <c r="G57" s="11"/>
      <c r="H57" s="11"/>
      <c r="I57" s="11"/>
    </row>
    <row r="58" spans="2:9" ht="12.75">
      <c r="B58" s="46"/>
      <c r="C58" s="11"/>
      <c r="D58" s="11"/>
      <c r="E58" s="11"/>
      <c r="F58" s="47"/>
      <c r="G58" s="11"/>
      <c r="H58" s="11"/>
      <c r="I58" s="11"/>
    </row>
    <row r="59" spans="2:9" ht="15.75">
      <c r="B59" s="55" t="s">
        <v>61</v>
      </c>
      <c r="C59" s="11"/>
      <c r="D59" s="11"/>
      <c r="E59" s="11"/>
      <c r="F59" s="56">
        <f>G45+G50+G56</f>
        <v>-118533.18</v>
      </c>
      <c r="G59" s="56" t="s">
        <v>47</v>
      </c>
      <c r="H59" s="11"/>
      <c r="I59" s="11"/>
    </row>
    <row r="60" spans="2:9" ht="12.75">
      <c r="B60" s="57" t="s">
        <v>48</v>
      </c>
      <c r="C60" s="11"/>
      <c r="D60" s="11"/>
      <c r="E60" s="11"/>
      <c r="F60" s="47"/>
      <c r="G60" s="11"/>
      <c r="H60" s="11"/>
      <c r="I60" s="11"/>
    </row>
    <row r="61" spans="2:9" ht="12.75">
      <c r="B61" s="57" t="s">
        <v>49</v>
      </c>
      <c r="C61" s="11"/>
      <c r="D61" s="11"/>
      <c r="E61" s="11"/>
      <c r="F61" s="47"/>
      <c r="G61" s="11"/>
      <c r="H61" s="11"/>
      <c r="I61" s="11"/>
    </row>
    <row r="62" spans="2:9" ht="12.75">
      <c r="B62" s="46"/>
      <c r="C62" s="11"/>
      <c r="D62" s="11"/>
      <c r="E62" s="11"/>
      <c r="F62" s="47"/>
      <c r="G62" s="11"/>
      <c r="H62" s="11"/>
      <c r="I62" s="11"/>
    </row>
    <row r="63" spans="2:9" ht="15.75">
      <c r="B63" s="55" t="s">
        <v>62</v>
      </c>
      <c r="C63" s="11"/>
      <c r="D63" s="11"/>
      <c r="E63" s="11"/>
      <c r="F63" s="56">
        <f>-61600.22-99260.4</f>
        <v>-160860.62</v>
      </c>
      <c r="G63" s="56" t="s">
        <v>47</v>
      </c>
      <c r="H63" s="11"/>
      <c r="I63" s="11"/>
    </row>
    <row r="64" spans="2:9" ht="12.75">
      <c r="B64" s="57" t="s">
        <v>51</v>
      </c>
      <c r="C64" s="11"/>
      <c r="D64" s="11"/>
      <c r="E64" s="11"/>
      <c r="F64" s="47"/>
      <c r="G64" s="11"/>
      <c r="H64" s="11"/>
      <c r="I64" s="11"/>
    </row>
    <row r="65" spans="2:9" ht="12.75">
      <c r="B65" s="57" t="s">
        <v>52</v>
      </c>
      <c r="C65" s="11"/>
      <c r="D65" s="11"/>
      <c r="E65" s="11"/>
      <c r="F65" s="47"/>
      <c r="G65" s="11"/>
      <c r="H65" s="11"/>
      <c r="I65" s="11"/>
    </row>
    <row r="66" spans="2:9" ht="12.75">
      <c r="B66" s="33"/>
      <c r="C66" s="62"/>
      <c r="D66" s="62"/>
      <c r="E66" s="62"/>
      <c r="F66" s="62"/>
      <c r="G66" s="62"/>
      <c r="H66" s="62"/>
      <c r="I66" s="62"/>
    </row>
    <row r="67" spans="1:9" ht="15.75">
      <c r="A67" s="11"/>
      <c r="B67" s="58" t="s">
        <v>63</v>
      </c>
      <c r="C67" s="58"/>
      <c r="D67" s="58"/>
      <c r="E67" s="11"/>
      <c r="F67" s="56">
        <f>F59+F63</f>
        <v>-279393.8</v>
      </c>
      <c r="G67" s="56" t="s">
        <v>47</v>
      </c>
      <c r="H67" s="11"/>
      <c r="I67" s="11"/>
    </row>
    <row r="68" spans="1:9" ht="12.75">
      <c r="A68" s="11"/>
      <c r="B68" s="38" t="s">
        <v>48</v>
      </c>
      <c r="C68" s="38"/>
      <c r="D68" s="11"/>
      <c r="E68" s="11"/>
      <c r="F68" s="47"/>
      <c r="G68" s="11"/>
      <c r="H68" s="11"/>
      <c r="I68" s="11"/>
    </row>
    <row r="69" spans="1:9" ht="12.75">
      <c r="A69" s="11"/>
      <c r="B69" s="38" t="s">
        <v>49</v>
      </c>
      <c r="C69" s="11"/>
      <c r="D69" s="11"/>
      <c r="E69" s="11"/>
      <c r="F69" s="47"/>
      <c r="G69" s="11"/>
      <c r="H69" s="11"/>
      <c r="I69" s="11"/>
    </row>
    <row r="70" spans="2:6" ht="14.25">
      <c r="B70" s="61"/>
      <c r="C70" s="61"/>
      <c r="D70" s="61"/>
      <c r="E70" s="61"/>
      <c r="F70" s="61"/>
    </row>
    <row r="71" spans="2:6" ht="14.25">
      <c r="B71" s="61"/>
      <c r="C71" s="61"/>
      <c r="D71" s="61"/>
      <c r="E71" s="61"/>
      <c r="F71" s="61"/>
    </row>
    <row r="72" spans="2:6" ht="14.25">
      <c r="B72" s="61"/>
      <c r="C72" s="61"/>
      <c r="D72" s="61"/>
      <c r="E72" s="61"/>
      <c r="F72" s="61"/>
    </row>
    <row r="73" spans="2:6" ht="14.25">
      <c r="B73" s="61"/>
      <c r="C73" s="61"/>
      <c r="D73" s="61"/>
      <c r="E73" s="61"/>
      <c r="F73" s="61"/>
    </row>
    <row r="74" s="33" customFormat="1" ht="12.75">
      <c r="C74" s="59" t="s">
        <v>54</v>
      </c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6" ht="15">
      <c r="B76" s="60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</sheetData>
  <sheetProtection/>
  <mergeCells count="19">
    <mergeCell ref="B35:B36"/>
    <mergeCell ref="C35:C36"/>
    <mergeCell ref="D35:D36"/>
    <mergeCell ref="E35:E36"/>
    <mergeCell ref="F35:F36"/>
    <mergeCell ref="G35:G36"/>
    <mergeCell ref="B13:G13"/>
    <mergeCell ref="B33:B34"/>
    <mergeCell ref="C33:C34"/>
    <mergeCell ref="D33:D34"/>
    <mergeCell ref="E33:E34"/>
    <mergeCell ref="F33:F34"/>
    <mergeCell ref="G33:G34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43">
      <selection activeCell="F64" sqref="F64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9" width="10.140625" style="4" bestFit="1" customWidth="1"/>
    <col min="10" max="12" width="9.140625" style="4" customWidth="1"/>
    <col min="13" max="13" width="10.140625" style="4" bestFit="1" customWidth="1"/>
    <col min="14" max="17" width="9.140625" style="4" customWidth="1"/>
    <col min="18" max="18" width="10.140625" style="4" bestFit="1" customWidth="1"/>
    <col min="1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64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v>136726.28</v>
      </c>
      <c r="D9" s="21">
        <v>136672.89</v>
      </c>
      <c r="E9" s="21">
        <f>D9-C9</f>
        <v>-53.389999999984866</v>
      </c>
      <c r="F9" s="21">
        <f>'[3]Sheet1'!$T$15</f>
        <v>82829</v>
      </c>
      <c r="G9" s="66">
        <f>C9-F9</f>
        <v>53897.28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67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68"/>
      <c r="H11" s="62"/>
      <c r="I11" s="62"/>
    </row>
    <row r="12" spans="2:18" ht="13.5" thickBot="1">
      <c r="B12" s="26" t="s">
        <v>16</v>
      </c>
      <c r="C12" s="27">
        <f>C9</f>
        <v>136726.28</v>
      </c>
      <c r="D12" s="27">
        <f>D9</f>
        <v>136672.89</v>
      </c>
      <c r="E12" s="27">
        <f>E9</f>
        <v>-53.389999999984866</v>
      </c>
      <c r="F12" s="27">
        <f>F9</f>
        <v>82829</v>
      </c>
      <c r="G12" s="27">
        <f>G9</f>
        <v>53897.28</v>
      </c>
      <c r="H12" s="62"/>
      <c r="I12" s="62">
        <v>201934</v>
      </c>
      <c r="J12" s="4">
        <f>C12/I12</f>
        <v>0.6770839977418365</v>
      </c>
      <c r="K12" s="4">
        <v>131399.55</v>
      </c>
      <c r="L12" s="4">
        <f>J12*K12</f>
        <v>88968.53261547833</v>
      </c>
      <c r="M12" s="69">
        <f>C12+L12</f>
        <v>225694.81261547832</v>
      </c>
      <c r="N12" s="4">
        <v>96923.36</v>
      </c>
      <c r="O12" s="4">
        <v>236280</v>
      </c>
      <c r="P12" s="4">
        <f>D12/O12</f>
        <v>0.5784361350939564</v>
      </c>
      <c r="Q12" s="4">
        <f>N12*P12</f>
        <v>56063.973758720174</v>
      </c>
      <c r="R12" s="69">
        <f>Q12+D12</f>
        <v>192736.8637587202</v>
      </c>
    </row>
    <row r="13" spans="2:18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  <c r="M13" s="69"/>
      <c r="R13" s="69">
        <f aca="true" t="shared" si="0" ref="R13:R20">Q13+D13</f>
        <v>0</v>
      </c>
    </row>
    <row r="14" spans="2:18" ht="27" customHeight="1" thickBot="1">
      <c r="B14" s="24" t="s">
        <v>18</v>
      </c>
      <c r="C14" s="31">
        <v>58872.409107678744</v>
      </c>
      <c r="D14" s="31">
        <v>58849.2865082106</v>
      </c>
      <c r="E14" s="31">
        <f aca="true" t="shared" si="1" ref="E14:E20">D14-C14</f>
        <v>-23.12259946814447</v>
      </c>
      <c r="F14" s="31">
        <f>'[3]Sheet1'!$T$18</f>
        <v>35665</v>
      </c>
      <c r="G14" s="31">
        <f aca="true" t="shared" si="2" ref="G14:G20">C14-F14</f>
        <v>23207.409107678744</v>
      </c>
      <c r="H14" s="62"/>
      <c r="I14" s="62">
        <v>201934</v>
      </c>
      <c r="J14" s="4">
        <f aca="true" t="shared" si="3" ref="J14:J20">C14/I14</f>
        <v>0.29154282640703766</v>
      </c>
      <c r="K14" s="4">
        <v>131399.55</v>
      </c>
      <c r="L14" s="4">
        <f aca="true" t="shared" si="4" ref="L14:L20">J14*K14</f>
        <v>38308.59619561286</v>
      </c>
      <c r="M14" s="69">
        <f aca="true" t="shared" si="5" ref="M14:M20">C14+L14</f>
        <v>97181.0053032916</v>
      </c>
      <c r="N14" s="4">
        <v>96923.36</v>
      </c>
      <c r="O14" s="4">
        <v>236280</v>
      </c>
      <c r="P14" s="4">
        <f aca="true" t="shared" si="6" ref="P14:P20">D14/O14</f>
        <v>0.24906588161592433</v>
      </c>
      <c r="Q14" s="4">
        <f aca="true" t="shared" si="7" ref="Q14:Q20">N14*P14</f>
        <v>24140.302107577616</v>
      </c>
      <c r="R14" s="69">
        <f t="shared" si="0"/>
        <v>82989.58861578822</v>
      </c>
    </row>
    <row r="15" spans="2:18" ht="19.5" customHeight="1" thickBot="1">
      <c r="B15" s="24" t="s">
        <v>19</v>
      </c>
      <c r="C15" s="31">
        <v>5087.474130656551</v>
      </c>
      <c r="D15" s="31">
        <v>5085.201101066531</v>
      </c>
      <c r="E15" s="31">
        <f t="shared" si="1"/>
        <v>-2.273029590020087</v>
      </c>
      <c r="F15" s="31">
        <f>'[3]Sheet1'!$T$19</f>
        <v>3082</v>
      </c>
      <c r="G15" s="31">
        <f t="shared" si="2"/>
        <v>2005.474130656551</v>
      </c>
      <c r="H15" s="62"/>
      <c r="I15" s="62">
        <v>201934</v>
      </c>
      <c r="J15" s="4">
        <f t="shared" si="3"/>
        <v>0.025193747118645454</v>
      </c>
      <c r="K15" s="4">
        <v>131399.55</v>
      </c>
      <c r="L15" s="4">
        <f t="shared" si="4"/>
        <v>3310.447034203809</v>
      </c>
      <c r="M15" s="69">
        <f t="shared" si="5"/>
        <v>8397.92116486036</v>
      </c>
      <c r="N15" s="4">
        <v>96923.36</v>
      </c>
      <c r="O15" s="4">
        <v>236280</v>
      </c>
      <c r="P15" s="4">
        <f t="shared" si="6"/>
        <v>0.0215219278020422</v>
      </c>
      <c r="Q15" s="4">
        <f t="shared" si="7"/>
        <v>2085.977556251345</v>
      </c>
      <c r="R15" s="69">
        <f t="shared" si="0"/>
        <v>7171.178657317876</v>
      </c>
    </row>
    <row r="16" spans="2:18" ht="21" customHeight="1" thickBot="1">
      <c r="B16" s="24" t="s">
        <v>20</v>
      </c>
      <c r="C16" s="31">
        <v>11266.064549555795</v>
      </c>
      <c r="D16" s="31">
        <v>11260.49106822414</v>
      </c>
      <c r="E16" s="31">
        <f t="shared" si="1"/>
        <v>-5.573481331653966</v>
      </c>
      <c r="F16" s="31">
        <f>'[3]Sheet1'!$T$20</f>
        <v>6825</v>
      </c>
      <c r="G16" s="31">
        <f t="shared" si="2"/>
        <v>4441.064549555795</v>
      </c>
      <c r="H16" s="62"/>
      <c r="I16" s="62">
        <v>201934</v>
      </c>
      <c r="J16" s="4">
        <f t="shared" si="3"/>
        <v>0.05579082546552733</v>
      </c>
      <c r="K16" s="4">
        <v>131399.55</v>
      </c>
      <c r="L16" s="4">
        <f t="shared" si="4"/>
        <v>7330.889360298831</v>
      </c>
      <c r="M16" s="69">
        <f t="shared" si="5"/>
        <v>18596.953909854627</v>
      </c>
      <c r="N16" s="4">
        <v>96923.36</v>
      </c>
      <c r="O16" s="4">
        <v>236280</v>
      </c>
      <c r="P16" s="4">
        <f t="shared" si="6"/>
        <v>0.04765740252337964</v>
      </c>
      <c r="Q16" s="4">
        <f t="shared" si="7"/>
        <v>4619.115581438433</v>
      </c>
      <c r="R16" s="69">
        <f t="shared" si="0"/>
        <v>15879.606649662574</v>
      </c>
    </row>
    <row r="17" spans="2:18" ht="17.25" customHeight="1" thickBot="1">
      <c r="B17" s="24" t="s">
        <v>56</v>
      </c>
      <c r="C17" s="31">
        <v>0</v>
      </c>
      <c r="D17" s="31">
        <v>0</v>
      </c>
      <c r="E17" s="31">
        <f>D17-C17</f>
        <v>0</v>
      </c>
      <c r="F17" s="31">
        <f>C17</f>
        <v>0</v>
      </c>
      <c r="G17" s="31">
        <f>C17-F17</f>
        <v>0</v>
      </c>
      <c r="H17" s="62"/>
      <c r="I17" s="62">
        <v>201934</v>
      </c>
      <c r="J17" s="4">
        <f t="shared" si="3"/>
        <v>0</v>
      </c>
      <c r="K17" s="4">
        <v>131399.55</v>
      </c>
      <c r="L17" s="4">
        <f t="shared" si="4"/>
        <v>0</v>
      </c>
      <c r="M17" s="69">
        <f t="shared" si="5"/>
        <v>0</v>
      </c>
      <c r="N17" s="4">
        <v>96923.36</v>
      </c>
      <c r="O17" s="4">
        <v>236280</v>
      </c>
      <c r="P17" s="4">
        <f t="shared" si="6"/>
        <v>0</v>
      </c>
      <c r="Q17" s="4">
        <f t="shared" si="7"/>
        <v>0</v>
      </c>
      <c r="R17" s="69">
        <f t="shared" si="0"/>
        <v>0</v>
      </c>
    </row>
    <row r="18" spans="2:18" ht="17.25" customHeight="1" thickBot="1">
      <c r="B18" s="24" t="s">
        <v>57</v>
      </c>
      <c r="C18" s="31">
        <v>0</v>
      </c>
      <c r="D18" s="31">
        <v>0</v>
      </c>
      <c r="E18" s="31">
        <v>0</v>
      </c>
      <c r="F18" s="31">
        <v>0</v>
      </c>
      <c r="G18" s="31">
        <f t="shared" si="2"/>
        <v>0</v>
      </c>
      <c r="H18" s="62"/>
      <c r="I18" s="62">
        <v>201934</v>
      </c>
      <c r="J18" s="4">
        <f t="shared" si="3"/>
        <v>0</v>
      </c>
      <c r="K18" s="4">
        <v>131399.55</v>
      </c>
      <c r="L18" s="4">
        <f t="shared" si="4"/>
        <v>0</v>
      </c>
      <c r="M18" s="69">
        <f t="shared" si="5"/>
        <v>0</v>
      </c>
      <c r="N18" s="4">
        <v>96923.36</v>
      </c>
      <c r="O18" s="4">
        <v>236280</v>
      </c>
      <c r="P18" s="4">
        <f t="shared" si="6"/>
        <v>0</v>
      </c>
      <c r="Q18" s="4">
        <f t="shared" si="7"/>
        <v>0</v>
      </c>
      <c r="R18" s="69">
        <f t="shared" si="0"/>
        <v>0</v>
      </c>
    </row>
    <row r="19" spans="2:18" ht="25.5" customHeight="1" thickBot="1">
      <c r="B19" s="24" t="s">
        <v>21</v>
      </c>
      <c r="C19" s="31">
        <v>102845.55101765922</v>
      </c>
      <c r="D19" s="31">
        <v>102805.39253157271</v>
      </c>
      <c r="E19" s="31">
        <f t="shared" si="1"/>
        <v>-40.1584860865114</v>
      </c>
      <c r="F19" s="31">
        <f>'[3]Sheet1'!$T$26</f>
        <v>62304</v>
      </c>
      <c r="G19" s="31">
        <f t="shared" si="2"/>
        <v>40541.55101765922</v>
      </c>
      <c r="H19" s="62"/>
      <c r="I19" s="62">
        <v>201934</v>
      </c>
      <c r="J19" s="4">
        <f t="shared" si="3"/>
        <v>0.5093027970409105</v>
      </c>
      <c r="K19" s="4">
        <v>131399.55</v>
      </c>
      <c r="L19" s="4">
        <f t="shared" si="4"/>
        <v>66922.15834491697</v>
      </c>
      <c r="M19" s="69">
        <f t="shared" si="5"/>
        <v>169767.7093625762</v>
      </c>
      <c r="N19" s="4">
        <v>96923.36</v>
      </c>
      <c r="O19" s="4">
        <v>236280</v>
      </c>
      <c r="P19" s="4">
        <f t="shared" si="6"/>
        <v>0.43509984988815265</v>
      </c>
      <c r="Q19" s="4">
        <f t="shared" si="7"/>
        <v>42171.33938665538</v>
      </c>
      <c r="R19" s="69">
        <f t="shared" si="0"/>
        <v>144976.7319182281</v>
      </c>
    </row>
    <row r="20" spans="2:18" ht="25.5" customHeight="1" thickBot="1">
      <c r="B20" s="24" t="s">
        <v>22</v>
      </c>
      <c r="C20" s="31">
        <v>18535.77125669773</v>
      </c>
      <c r="D20" s="31">
        <v>18530.100518029456</v>
      </c>
      <c r="E20" s="31">
        <f t="shared" si="1"/>
        <v>-5.67073866827559</v>
      </c>
      <c r="F20" s="31">
        <f>'[3]Sheet1'!$T$41+'[3]Sheet1'!$T$42</f>
        <v>11229</v>
      </c>
      <c r="G20" s="31">
        <f t="shared" si="2"/>
        <v>7306.771256697732</v>
      </c>
      <c r="H20" s="62"/>
      <c r="I20" s="62">
        <v>201934</v>
      </c>
      <c r="J20" s="4">
        <f t="shared" si="3"/>
        <v>0.09179123504064561</v>
      </c>
      <c r="K20" s="4">
        <v>131399.55</v>
      </c>
      <c r="L20" s="4">
        <f t="shared" si="4"/>
        <v>12061.326978285064</v>
      </c>
      <c r="M20" s="69">
        <f t="shared" si="5"/>
        <v>30597.098234982797</v>
      </c>
      <c r="N20" s="4">
        <v>96923.36</v>
      </c>
      <c r="O20" s="4">
        <v>236280</v>
      </c>
      <c r="P20" s="4">
        <f t="shared" si="6"/>
        <v>0.07842432926201734</v>
      </c>
      <c r="Q20" s="4">
        <f t="shared" si="7"/>
        <v>7601.149497821041</v>
      </c>
      <c r="R20" s="69">
        <f t="shared" si="0"/>
        <v>26131.2500158505</v>
      </c>
    </row>
    <row r="21" spans="2:9" ht="13.5" thickBot="1">
      <c r="B21" s="26" t="s">
        <v>16</v>
      </c>
      <c r="C21" s="27">
        <f>SUM(C14:C20)</f>
        <v>196607.27006224805</v>
      </c>
      <c r="D21" s="27">
        <f>SUM(D14:D20)</f>
        <v>196530.47172710343</v>
      </c>
      <c r="E21" s="27">
        <f>SUM(E14:E20)</f>
        <v>-76.79833514460552</v>
      </c>
      <c r="F21" s="27">
        <f>SUM(F14:F20)</f>
        <v>119105</v>
      </c>
      <c r="G21" s="27">
        <f>SUM(G14:G20)</f>
        <v>77502.27006224803</v>
      </c>
      <c r="H21" s="62"/>
      <c r="I21" s="62"/>
    </row>
    <row r="22" spans="2:18" ht="13.5" thickBot="1">
      <c r="B22" s="32" t="s">
        <v>23</v>
      </c>
      <c r="C22" s="27">
        <f>C12+C21</f>
        <v>333333.550062248</v>
      </c>
      <c r="D22" s="27">
        <f>D12+D21</f>
        <v>333203.3617271035</v>
      </c>
      <c r="E22" s="27">
        <f>E12+E21</f>
        <v>-130.18833514459038</v>
      </c>
      <c r="F22" s="27">
        <f>F12+F21</f>
        <v>201934</v>
      </c>
      <c r="G22" s="27">
        <f>G12+G21</f>
        <v>131399.55006224802</v>
      </c>
      <c r="H22" s="62"/>
      <c r="I22" s="62"/>
      <c r="M22" s="69">
        <f>C22+K20</f>
        <v>464733.100062248</v>
      </c>
      <c r="R22" s="69">
        <f>D22+N20</f>
        <v>430126.72172710346</v>
      </c>
    </row>
    <row r="23" spans="2:9" ht="12.75">
      <c r="B23" s="33"/>
      <c r="C23" s="62"/>
      <c r="D23" s="62"/>
      <c r="E23" s="62"/>
      <c r="F23" s="62"/>
      <c r="G23" s="62"/>
      <c r="H23" s="62"/>
      <c r="I23" s="62"/>
    </row>
    <row r="24" spans="2:9" ht="13.5" thickBot="1">
      <c r="B24" s="10" t="s">
        <v>24</v>
      </c>
      <c r="C24" s="62"/>
      <c r="D24" s="62"/>
      <c r="E24" s="62"/>
      <c r="F24" s="62"/>
      <c r="G24" s="62"/>
      <c r="H24" s="62"/>
      <c r="I24" s="62"/>
    </row>
    <row r="25" spans="2:9" ht="105" customHeight="1" thickBot="1">
      <c r="B25" s="34" t="s">
        <v>4</v>
      </c>
      <c r="C25" s="34" t="s">
        <v>5</v>
      </c>
      <c r="D25" s="35" t="s">
        <v>25</v>
      </c>
      <c r="E25" s="35" t="s">
        <v>7</v>
      </c>
      <c r="F25" s="34" t="s">
        <v>26</v>
      </c>
      <c r="G25" s="34" t="s">
        <v>9</v>
      </c>
      <c r="H25" s="62"/>
      <c r="I25" s="62"/>
    </row>
    <row r="26" spans="2:9" ht="13.5" customHeight="1" thickBot="1">
      <c r="B26" s="14">
        <v>1</v>
      </c>
      <c r="C26" s="15">
        <v>2</v>
      </c>
      <c r="D26" s="15">
        <v>3</v>
      </c>
      <c r="E26" s="15" t="s">
        <v>10</v>
      </c>
      <c r="F26" s="15">
        <v>5</v>
      </c>
      <c r="G26" s="16" t="s">
        <v>11</v>
      </c>
      <c r="H26" s="62"/>
      <c r="I26" s="62"/>
    </row>
    <row r="27" spans="2:9" ht="38.25" customHeight="1" thickBot="1">
      <c r="B27" s="24" t="s">
        <v>27</v>
      </c>
      <c r="C27" s="36">
        <f>'[3]Sheet1'!$N$12+39733.12</f>
        <v>200882.12</v>
      </c>
      <c r="D27" s="36">
        <f>'[3]Sheet1'!$R$12+19218.65</f>
        <v>207777.65</v>
      </c>
      <c r="E27" s="36">
        <f>D27-C27</f>
        <v>6895.529999999999</v>
      </c>
      <c r="F27" s="36">
        <f>'[3]Sheet1'!$U$12</f>
        <v>238308</v>
      </c>
      <c r="G27" s="36">
        <f>C27-F27</f>
        <v>-37425.880000000005</v>
      </c>
      <c r="H27" s="63"/>
      <c r="I27" s="62"/>
    </row>
    <row r="28" spans="2:9" ht="13.5" thickBot="1">
      <c r="B28" s="26" t="s">
        <v>28</v>
      </c>
      <c r="C28" s="37">
        <f>C27</f>
        <v>200882.12</v>
      </c>
      <c r="D28" s="37">
        <f>D27</f>
        <v>207777.65</v>
      </c>
      <c r="E28" s="37">
        <f>E27</f>
        <v>6895.529999999999</v>
      </c>
      <c r="F28" s="37">
        <f>F27</f>
        <v>238308</v>
      </c>
      <c r="G28" s="37">
        <f>G27</f>
        <v>-37425.880000000005</v>
      </c>
      <c r="H28" s="62"/>
      <c r="I28" s="62"/>
    </row>
    <row r="29" spans="2:9" ht="12.75">
      <c r="B29" s="38"/>
      <c r="C29" s="62"/>
      <c r="D29" s="62"/>
      <c r="E29" s="62"/>
      <c r="F29" s="62"/>
      <c r="G29" s="62"/>
      <c r="H29" s="62"/>
      <c r="I29" s="62"/>
    </row>
    <row r="30" spans="2:9" ht="13.5" thickBot="1">
      <c r="B30" s="10" t="s">
        <v>29</v>
      </c>
      <c r="C30" s="62"/>
      <c r="D30" s="62"/>
      <c r="E30" s="62"/>
      <c r="F30" s="62"/>
      <c r="G30" s="62"/>
      <c r="H30" s="62"/>
      <c r="I30" s="62"/>
    </row>
    <row r="31" spans="2:9" ht="103.5" customHeight="1" thickBot="1">
      <c r="B31" s="34" t="s">
        <v>4</v>
      </c>
      <c r="C31" s="13" t="s">
        <v>30</v>
      </c>
      <c r="D31" s="39" t="s">
        <v>31</v>
      </c>
      <c r="E31" s="35" t="s">
        <v>7</v>
      </c>
      <c r="F31" s="13" t="s">
        <v>32</v>
      </c>
      <c r="G31" s="34" t="s">
        <v>9</v>
      </c>
      <c r="H31" s="62"/>
      <c r="I31" s="62"/>
    </row>
    <row r="32" spans="2:9" ht="13.5" customHeight="1" thickBot="1">
      <c r="B32" s="14">
        <v>1</v>
      </c>
      <c r="C32" s="15">
        <v>2</v>
      </c>
      <c r="D32" s="15">
        <v>3</v>
      </c>
      <c r="E32" s="15" t="s">
        <v>10</v>
      </c>
      <c r="F32" s="15">
        <v>5</v>
      </c>
      <c r="G32" s="16" t="s">
        <v>11</v>
      </c>
      <c r="H32" s="62"/>
      <c r="I32" s="62"/>
    </row>
    <row r="33" spans="2:9" ht="16.5" customHeight="1">
      <c r="B33" s="40" t="s">
        <v>33</v>
      </c>
      <c r="C33" s="21">
        <f>'[3]Sheet1'!$N$33+15681.97+17230.69+539.34</f>
        <v>155149</v>
      </c>
      <c r="D33" s="21">
        <f>'[3]Sheet1'!$R$33+6214.08+6927.73+377.25</f>
        <v>155915.06</v>
      </c>
      <c r="E33" s="21">
        <f>D33-C33</f>
        <v>766.0599999999977</v>
      </c>
      <c r="F33" s="21">
        <f>C33</f>
        <v>155149</v>
      </c>
      <c r="G33" s="21">
        <f>C33-F33</f>
        <v>0</v>
      </c>
      <c r="H33" s="62"/>
      <c r="I33" s="62"/>
    </row>
    <row r="34" spans="2:9" ht="24" customHeight="1" thickBot="1">
      <c r="B34" s="41"/>
      <c r="C34" s="42"/>
      <c r="D34" s="42"/>
      <c r="E34" s="42"/>
      <c r="F34" s="42"/>
      <c r="G34" s="42"/>
      <c r="H34" s="62"/>
      <c r="I34" s="62"/>
    </row>
    <row r="35" spans="2:9" ht="17.25" customHeight="1">
      <c r="B35" s="40" t="s">
        <v>34</v>
      </c>
      <c r="C35" s="21">
        <v>768126.79</v>
      </c>
      <c r="D35" s="21">
        <f>739952.59+10787.43</f>
        <v>750740.02</v>
      </c>
      <c r="E35" s="21">
        <f>D35-C35</f>
        <v>-17386.77000000002</v>
      </c>
      <c r="F35" s="21">
        <f>'[3]Sheet1'!$T$36</f>
        <v>871574</v>
      </c>
      <c r="G35" s="21">
        <f>C35-F35</f>
        <v>-103447.20999999996</v>
      </c>
      <c r="H35" s="62"/>
      <c r="I35" s="62"/>
    </row>
    <row r="36" spans="2:9" ht="13.5" thickBot="1">
      <c r="B36" s="41"/>
      <c r="C36" s="42"/>
      <c r="D36" s="42"/>
      <c r="E36" s="42"/>
      <c r="F36" s="42"/>
      <c r="G36" s="42"/>
      <c r="H36" s="62"/>
      <c r="I36" s="62"/>
    </row>
    <row r="37" spans="2:9" ht="13.5" thickBot="1">
      <c r="B37" s="32" t="s">
        <v>35</v>
      </c>
      <c r="C37" s="37">
        <f>C33+C35</f>
        <v>923275.79</v>
      </c>
      <c r="D37" s="37">
        <f>D33+D35</f>
        <v>906655.0800000001</v>
      </c>
      <c r="E37" s="37">
        <f>E33+E35</f>
        <v>-16620.71000000002</v>
      </c>
      <c r="F37" s="37">
        <f>F33+F35</f>
        <v>1026723</v>
      </c>
      <c r="G37" s="37">
        <f>G33+G35</f>
        <v>-103447.20999999996</v>
      </c>
      <c r="H37" s="62"/>
      <c r="I37" s="62"/>
    </row>
    <row r="38" spans="2:9" ht="12.75">
      <c r="B38" s="33"/>
      <c r="C38" s="62"/>
      <c r="D38" s="62"/>
      <c r="E38" s="62"/>
      <c r="F38" s="62"/>
      <c r="G38" s="62"/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43" t="s">
        <v>36</v>
      </c>
      <c r="C40" s="62"/>
      <c r="D40" s="62"/>
      <c r="E40" s="62"/>
      <c r="F40" s="62"/>
      <c r="G40" s="44">
        <f>F42+F43</f>
        <v>-9855.368335144613</v>
      </c>
      <c r="H40" s="62"/>
      <c r="I40" s="62"/>
    </row>
    <row r="41" spans="2:9" ht="12.75">
      <c r="B41" s="45" t="s">
        <v>37</v>
      </c>
      <c r="C41" s="63"/>
      <c r="D41" s="62"/>
      <c r="E41" s="62"/>
      <c r="F41" s="62"/>
      <c r="G41" s="62"/>
      <c r="H41" s="62"/>
      <c r="I41" s="62"/>
    </row>
    <row r="42" spans="2:9" ht="12.75">
      <c r="B42" s="46" t="s">
        <v>65</v>
      </c>
      <c r="C42" s="62"/>
      <c r="D42" s="62"/>
      <c r="E42" s="62"/>
      <c r="F42" s="47">
        <f>(E22+E28)</f>
        <v>6765.341664855408</v>
      </c>
      <c r="G42" s="62"/>
      <c r="H42" s="62"/>
      <c r="I42" s="62"/>
    </row>
    <row r="43" spans="2:9" ht="12.75">
      <c r="B43" s="46" t="s">
        <v>59</v>
      </c>
      <c r="C43" s="62"/>
      <c r="D43" s="62"/>
      <c r="E43" s="62"/>
      <c r="F43" s="47">
        <f>(E37)</f>
        <v>-16620.71000000002</v>
      </c>
      <c r="G43" s="62"/>
      <c r="H43" s="62"/>
      <c r="I43" s="62"/>
    </row>
    <row r="44" spans="2:9" ht="12.75">
      <c r="B44" s="46"/>
      <c r="C44" s="62"/>
      <c r="D44" s="62"/>
      <c r="E44" s="62"/>
      <c r="F44" s="47"/>
      <c r="G44" s="62"/>
      <c r="H44" s="62"/>
      <c r="I44" s="62"/>
    </row>
    <row r="45" spans="2:9" s="1" customFormat="1" ht="12.75">
      <c r="B45" s="48" t="s">
        <v>40</v>
      </c>
      <c r="C45" s="64"/>
      <c r="D45" s="64"/>
      <c r="E45" s="65"/>
      <c r="F45" s="51"/>
      <c r="G45" s="44">
        <f>F47+F48</f>
        <v>-103447.20999999996</v>
      </c>
      <c r="H45" s="64"/>
      <c r="I45" s="64"/>
    </row>
    <row r="46" spans="2:9" s="1" customFormat="1" ht="12.75">
      <c r="B46" s="45" t="s">
        <v>37</v>
      </c>
      <c r="C46" s="64"/>
      <c r="D46" s="64"/>
      <c r="E46" s="65"/>
      <c r="F46" s="51"/>
      <c r="G46" s="52"/>
      <c r="H46" s="64"/>
      <c r="I46" s="64"/>
    </row>
    <row r="47" spans="2:9" s="1" customFormat="1" ht="12.75">
      <c r="B47" s="46" t="s">
        <v>41</v>
      </c>
      <c r="C47" s="64"/>
      <c r="D47" s="64"/>
      <c r="E47" s="65"/>
      <c r="F47" s="47">
        <f>IF((G22+G28)&lt;=0,G22+G28,0)</f>
        <v>0</v>
      </c>
      <c r="G47" s="52"/>
      <c r="H47" s="64"/>
      <c r="I47" s="64"/>
    </row>
    <row r="48" spans="2:9" s="1" customFormat="1" ht="12.75">
      <c r="B48" s="46" t="s">
        <v>42</v>
      </c>
      <c r="C48" s="64"/>
      <c r="D48" s="64"/>
      <c r="E48" s="65"/>
      <c r="F48" s="47">
        <f>IF(G37&lt;=0,G37,0)</f>
        <v>-103447.20999999996</v>
      </c>
      <c r="G48" s="52"/>
      <c r="H48" s="64"/>
      <c r="I48" s="64"/>
    </row>
    <row r="49" spans="2:9" s="1" customFormat="1" ht="12.75">
      <c r="B49" s="46"/>
      <c r="C49" s="64"/>
      <c r="D49" s="64"/>
      <c r="E49" s="65"/>
      <c r="F49" s="51"/>
      <c r="G49" s="52"/>
      <c r="H49" s="64"/>
      <c r="I49" s="64"/>
    </row>
    <row r="50" spans="2:9" s="1" customFormat="1" ht="12.75">
      <c r="B50" s="48" t="s">
        <v>66</v>
      </c>
      <c r="C50" s="64"/>
      <c r="D50" s="64"/>
      <c r="E50" s="65"/>
      <c r="F50" s="51"/>
      <c r="G50" s="44">
        <f>F52+F53</f>
        <v>93973.67006224801</v>
      </c>
      <c r="H50" s="64"/>
      <c r="I50" s="64"/>
    </row>
    <row r="51" spans="2:9" ht="12.75">
      <c r="B51" s="45" t="s">
        <v>37</v>
      </c>
      <c r="C51" s="62"/>
      <c r="D51" s="62"/>
      <c r="E51" s="62"/>
      <c r="F51" s="33"/>
      <c r="G51" s="52"/>
      <c r="H51" s="62"/>
      <c r="I51" s="62"/>
    </row>
    <row r="52" spans="2:9" ht="12.75">
      <c r="B52" s="46" t="s">
        <v>41</v>
      </c>
      <c r="C52" s="62"/>
      <c r="D52" s="62"/>
      <c r="E52" s="62"/>
      <c r="F52" s="47">
        <f>IF((G22+G28)&gt;0,G22+G28,0)</f>
        <v>93973.67006224801</v>
      </c>
      <c r="G52" s="62"/>
      <c r="H52" s="62"/>
      <c r="I52" s="62"/>
    </row>
    <row r="53" spans="2:9" ht="12.75">
      <c r="B53" s="46" t="s">
        <v>42</v>
      </c>
      <c r="C53" s="62"/>
      <c r="D53" s="62"/>
      <c r="E53" s="62"/>
      <c r="F53" s="47">
        <f>IF(G37&gt;0,G37,0)</f>
        <v>0</v>
      </c>
      <c r="G53" s="62"/>
      <c r="H53" s="62"/>
      <c r="I53" s="62"/>
    </row>
    <row r="54" spans="2:9" ht="12.75">
      <c r="B54" s="46"/>
      <c r="C54" s="62"/>
      <c r="D54" s="62"/>
      <c r="E54" s="62"/>
      <c r="F54" s="47"/>
      <c r="G54" s="62"/>
      <c r="H54" s="62"/>
      <c r="I54" s="62"/>
    </row>
    <row r="55" spans="2:9" ht="12.75">
      <c r="B55" s="53" t="s">
        <v>44</v>
      </c>
      <c r="C55" s="11"/>
      <c r="D55" s="11"/>
      <c r="E55" s="11"/>
      <c r="F55" s="33"/>
      <c r="G55" s="11"/>
      <c r="H55" s="11"/>
      <c r="I55" s="11"/>
    </row>
    <row r="56" spans="2:9" ht="12.75">
      <c r="B56" s="33" t="s">
        <v>45</v>
      </c>
      <c r="C56" s="11"/>
      <c r="D56" s="11"/>
      <c r="E56" s="54"/>
      <c r="F56" s="51"/>
      <c r="G56" s="70">
        <f>1627.82+400+700</f>
        <v>2727.8199999999997</v>
      </c>
      <c r="H56" s="11"/>
      <c r="I56" s="11"/>
    </row>
    <row r="57" spans="2:9" ht="12.75">
      <c r="B57" s="10"/>
      <c r="C57" s="11"/>
      <c r="D57" s="11"/>
      <c r="E57" s="11"/>
      <c r="F57" s="11"/>
      <c r="G57" s="11"/>
      <c r="H57" s="11"/>
      <c r="I57" s="11"/>
    </row>
    <row r="58" spans="2:9" ht="12.75">
      <c r="B58" s="46"/>
      <c r="C58" s="11"/>
      <c r="D58" s="11"/>
      <c r="E58" s="11"/>
      <c r="F58" s="47"/>
      <c r="G58" s="11"/>
      <c r="H58" s="11"/>
      <c r="I58" s="11"/>
    </row>
    <row r="59" spans="2:9" ht="15.75">
      <c r="B59" s="55" t="s">
        <v>46</v>
      </c>
      <c r="C59" s="11"/>
      <c r="D59" s="11"/>
      <c r="E59" s="11"/>
      <c r="F59" s="56">
        <f>G45+G50+G56</f>
        <v>-6745.71993775195</v>
      </c>
      <c r="G59" s="56" t="s">
        <v>47</v>
      </c>
      <c r="H59" s="11"/>
      <c r="I59" s="11"/>
    </row>
    <row r="60" spans="2:9" ht="12.75">
      <c r="B60" s="57" t="s">
        <v>48</v>
      </c>
      <c r="C60" s="11"/>
      <c r="D60" s="11"/>
      <c r="E60" s="11"/>
      <c r="F60" s="47"/>
      <c r="G60" s="11"/>
      <c r="H60" s="11"/>
      <c r="I60" s="11"/>
    </row>
    <row r="61" spans="2:9" ht="12.75">
      <c r="B61" s="57" t="s">
        <v>49</v>
      </c>
      <c r="C61" s="11"/>
      <c r="D61" s="11"/>
      <c r="E61" s="11"/>
      <c r="F61" s="47"/>
      <c r="G61" s="11"/>
      <c r="H61" s="11"/>
      <c r="I61" s="11"/>
    </row>
    <row r="62" spans="2:9" ht="12.75">
      <c r="B62" s="46"/>
      <c r="C62" s="11"/>
      <c r="D62" s="11"/>
      <c r="E62" s="11"/>
      <c r="F62" s="47"/>
      <c r="G62" s="11"/>
      <c r="H62" s="11"/>
      <c r="I62" s="11"/>
    </row>
    <row r="63" spans="2:9" ht="15.75">
      <c r="B63" s="55" t="s">
        <v>50</v>
      </c>
      <c r="C63" s="11"/>
      <c r="D63" s="11"/>
      <c r="E63" s="11"/>
      <c r="F63" s="56">
        <f>-23698.14-74534.79</f>
        <v>-98232.93</v>
      </c>
      <c r="G63" s="56" t="s">
        <v>47</v>
      </c>
      <c r="H63" s="11"/>
      <c r="I63" s="11"/>
    </row>
    <row r="64" spans="2:9" ht="12.75">
      <c r="B64" s="57" t="s">
        <v>51</v>
      </c>
      <c r="C64" s="11"/>
      <c r="D64" s="11"/>
      <c r="E64" s="11"/>
      <c r="F64" s="47"/>
      <c r="G64" s="11"/>
      <c r="H64" s="11"/>
      <c r="I64" s="11"/>
    </row>
    <row r="65" spans="2:9" ht="12.75">
      <c r="B65" s="57" t="s">
        <v>52</v>
      </c>
      <c r="C65" s="11"/>
      <c r="D65" s="11"/>
      <c r="E65" s="11"/>
      <c r="F65" s="47"/>
      <c r="G65" s="11"/>
      <c r="H65" s="11"/>
      <c r="I65" s="11"/>
    </row>
    <row r="66" spans="2:9" ht="12.75">
      <c r="B66" s="33"/>
      <c r="C66" s="62"/>
      <c r="D66" s="62"/>
      <c r="E66" s="62"/>
      <c r="F66" s="62"/>
      <c r="G66" s="62"/>
      <c r="H66" s="62"/>
      <c r="I66" s="62"/>
    </row>
    <row r="67" spans="1:9" ht="15.75">
      <c r="A67" s="11"/>
      <c r="B67" s="58" t="s">
        <v>63</v>
      </c>
      <c r="C67" s="58"/>
      <c r="D67" s="58"/>
      <c r="E67" s="11"/>
      <c r="F67" s="56">
        <f>F59+F63</f>
        <v>-104978.64993775194</v>
      </c>
      <c r="G67" s="56" t="s">
        <v>47</v>
      </c>
      <c r="H67" s="11"/>
      <c r="I67" s="11"/>
    </row>
    <row r="68" spans="1:9" s="33" customFormat="1" ht="12.75">
      <c r="A68" s="11"/>
      <c r="B68" s="38" t="s">
        <v>48</v>
      </c>
      <c r="C68" s="38"/>
      <c r="D68" s="11"/>
      <c r="E68" s="11"/>
      <c r="F68" s="47"/>
      <c r="G68" s="11"/>
      <c r="H68" s="11"/>
      <c r="I68" s="11"/>
    </row>
    <row r="69" spans="1:9" ht="12.75">
      <c r="A69" s="11"/>
      <c r="B69" s="38" t="s">
        <v>49</v>
      </c>
      <c r="C69" s="11"/>
      <c r="D69" s="11"/>
      <c r="E69" s="11"/>
      <c r="F69" s="47"/>
      <c r="G69" s="11"/>
      <c r="H69" s="11"/>
      <c r="I69" s="11"/>
    </row>
    <row r="70" spans="2:7" ht="12.75">
      <c r="B70" s="33"/>
      <c r="C70" s="62"/>
      <c r="D70" s="62"/>
      <c r="E70" s="62"/>
      <c r="F70" s="62"/>
      <c r="G70" s="62"/>
    </row>
    <row r="71" spans="2:9" ht="12.75">
      <c r="B71" s="33"/>
      <c r="C71" s="62"/>
      <c r="D71" s="62"/>
      <c r="E71" s="62"/>
      <c r="F71" s="62"/>
      <c r="G71" s="62"/>
      <c r="H71" s="62"/>
      <c r="I71" s="62"/>
    </row>
    <row r="72" spans="1:9" ht="12.75">
      <c r="A72" s="33"/>
      <c r="B72" s="33"/>
      <c r="C72" s="59" t="s">
        <v>54</v>
      </c>
      <c r="D72" s="33"/>
      <c r="E72" s="33"/>
      <c r="F72" s="33"/>
      <c r="G72" s="33"/>
      <c r="H72" s="33"/>
      <c r="I72" s="33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="33" customFormat="1" ht="12.75">
      <c r="A76" s="51"/>
    </row>
    <row r="77" spans="2:7" ht="12.75">
      <c r="B77" s="33"/>
      <c r="C77" s="62"/>
      <c r="D77" s="62"/>
      <c r="E77" s="62"/>
      <c r="F77" s="62"/>
      <c r="G77" s="62"/>
    </row>
    <row r="78" spans="2:7" ht="12.75">
      <c r="B78" s="33"/>
      <c r="C78" s="62"/>
      <c r="D78" s="62"/>
      <c r="E78" s="62"/>
      <c r="F78" s="62"/>
      <c r="G78" s="62"/>
    </row>
  </sheetData>
  <sheetProtection/>
  <mergeCells count="19">
    <mergeCell ref="B35:B36"/>
    <mergeCell ref="C35:C36"/>
    <mergeCell ref="D35:D36"/>
    <mergeCell ref="E35:E36"/>
    <mergeCell ref="F35:F36"/>
    <mergeCell ref="G35:G36"/>
    <mergeCell ref="B13:G13"/>
    <mergeCell ref="B33:B34"/>
    <mergeCell ref="C33:C34"/>
    <mergeCell ref="D33:D34"/>
    <mergeCell ref="E33:E34"/>
    <mergeCell ref="F33:F34"/>
    <mergeCell ref="G33:G34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9">
      <selection activeCell="F76" sqref="F76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67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'[4]Sheet1'!$N$15</f>
        <v>135991</v>
      </c>
      <c r="D9" s="21">
        <f>'[4]Sheet1'!$R$15</f>
        <v>150990</v>
      </c>
      <c r="E9" s="21">
        <f>D9-C9</f>
        <v>14999</v>
      </c>
      <c r="F9" s="21">
        <f>'[4]Sheet1'!$T$15</f>
        <v>135991</v>
      </c>
      <c r="G9" s="66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67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68"/>
      <c r="H11" s="62"/>
      <c r="I11" s="62"/>
    </row>
    <row r="12" spans="2:9" ht="13.5" thickBot="1">
      <c r="B12" s="26" t="s">
        <v>16</v>
      </c>
      <c r="C12" s="27">
        <f>C9</f>
        <v>135991</v>
      </c>
      <c r="D12" s="27">
        <f>D9</f>
        <v>150990</v>
      </c>
      <c r="E12" s="27">
        <f>E9</f>
        <v>14999</v>
      </c>
      <c r="F12" s="27">
        <f>F9</f>
        <v>135991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68</v>
      </c>
      <c r="C14" s="31">
        <f>'[4]Sheet1'!$N$17</f>
        <v>56164</v>
      </c>
      <c r="D14" s="31">
        <f>'[4]Sheet1'!$R$17</f>
        <v>62359</v>
      </c>
      <c r="E14" s="31">
        <f>D14-C14</f>
        <v>6195</v>
      </c>
      <c r="F14" s="31">
        <f>C14</f>
        <v>56164</v>
      </c>
      <c r="G14" s="31">
        <f>C14-F14</f>
        <v>0</v>
      </c>
      <c r="H14" s="62"/>
      <c r="I14" s="62"/>
    </row>
    <row r="15" spans="2:9" ht="27" customHeight="1" thickBot="1">
      <c r="B15" s="24" t="s">
        <v>18</v>
      </c>
      <c r="C15" s="31">
        <f>'[4]Sheet1'!$N$18</f>
        <v>38654</v>
      </c>
      <c r="D15" s="31">
        <f>'[4]Sheet1'!$R$18</f>
        <v>42918</v>
      </c>
      <c r="E15" s="31">
        <f aca="true" t="shared" si="0" ref="E15:E21">D15-C15</f>
        <v>4264</v>
      </c>
      <c r="F15" s="31">
        <f>'[4]Sheet1'!$T$18</f>
        <v>38654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'[4]Sheet1'!$N$19</f>
        <v>2553</v>
      </c>
      <c r="D16" s="31">
        <f>'[4]Sheet1'!$R$19</f>
        <v>2835</v>
      </c>
      <c r="E16" s="31">
        <f t="shared" si="0"/>
        <v>282</v>
      </c>
      <c r="F16" s="31">
        <f>'[4]Sheet1'!$T$19</f>
        <v>2553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'[4]Sheet1'!$N$20</f>
        <v>10940</v>
      </c>
      <c r="D17" s="31">
        <f>'[4]Sheet1'!$R$20</f>
        <v>12147</v>
      </c>
      <c r="E17" s="31">
        <f t="shared" si="0"/>
        <v>1207</v>
      </c>
      <c r="F17" s="31">
        <f>'[4]Sheet1'!$T$20</f>
        <v>10940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'[4]Sheet1'!$N$25</f>
        <v>217890</v>
      </c>
      <c r="D18" s="31">
        <f>'[4]Sheet1'!$R$25</f>
        <v>241924</v>
      </c>
      <c r="E18" s="31">
        <f t="shared" si="0"/>
        <v>24034</v>
      </c>
      <c r="F18" s="31">
        <f>C18</f>
        <v>217890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'[4]Sheet1'!$N$24</f>
        <v>51054</v>
      </c>
      <c r="D19" s="31">
        <f>'[4]Sheet1'!$R$24</f>
        <v>56685</v>
      </c>
      <c r="E19" s="31">
        <f t="shared" si="0"/>
        <v>5631</v>
      </c>
      <c r="F19" s="31">
        <f>C19</f>
        <v>51054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'[4]Sheet1'!$N$26</f>
        <v>103202</v>
      </c>
      <c r="D20" s="31">
        <f>'[4]Sheet1'!$R$26</f>
        <v>114586</v>
      </c>
      <c r="E20" s="31">
        <f t="shared" si="0"/>
        <v>11384</v>
      </c>
      <c r="F20" s="31">
        <f>'[4]Sheet1'!$T$26</f>
        <v>103202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'[4]Sheet1'!$N$41+'[4]Sheet1'!$N$42</f>
        <v>12036</v>
      </c>
      <c r="D21" s="31">
        <f>'[4]Sheet1'!$R$41+'[4]Sheet1'!$R$42</f>
        <v>13363</v>
      </c>
      <c r="E21" s="31">
        <f t="shared" si="0"/>
        <v>1327</v>
      </c>
      <c r="F21" s="31">
        <f>'[4]Sheet1'!$T$41+'[4]Sheet1'!$T$42</f>
        <v>12036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SUM(C14:C21)</f>
        <v>492493</v>
      </c>
      <c r="D22" s="27">
        <f>SUM(D14:D21)</f>
        <v>546817</v>
      </c>
      <c r="E22" s="27">
        <f>SUM(E14:E21)</f>
        <v>54324</v>
      </c>
      <c r="F22" s="27">
        <f>SUM(F14:F21)</f>
        <v>492493</v>
      </c>
      <c r="G22" s="27">
        <f>SUM(G14:G21)</f>
        <v>0</v>
      </c>
      <c r="H22" s="62"/>
      <c r="I22" s="62"/>
    </row>
    <row r="23" spans="2:9" ht="13.5" thickBot="1">
      <c r="B23" s="32" t="s">
        <v>23</v>
      </c>
      <c r="C23" s="27">
        <f>C12+C22</f>
        <v>628484</v>
      </c>
      <c r="D23" s="27">
        <f>D12+D22</f>
        <v>697807</v>
      </c>
      <c r="E23" s="27">
        <f>E12+E22</f>
        <v>69323</v>
      </c>
      <c r="F23" s="27">
        <f>F12+F22</f>
        <v>628484</v>
      </c>
      <c r="G23" s="27">
        <f>G12+G22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3.5" thickBot="1">
      <c r="B25" s="10" t="s">
        <v>24</v>
      </c>
      <c r="C25" s="62"/>
      <c r="D25" s="62"/>
      <c r="E25" s="62"/>
      <c r="F25" s="62"/>
      <c r="G25" s="62"/>
      <c r="H25" s="62"/>
      <c r="I25" s="62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62"/>
      <c r="I26" s="62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62"/>
      <c r="I27" s="62"/>
    </row>
    <row r="28" spans="2:9" ht="38.25" customHeight="1" thickBot="1">
      <c r="B28" s="24" t="s">
        <v>27</v>
      </c>
      <c r="C28" s="36">
        <f>'[4]Sheet1'!$N$12</f>
        <v>250909</v>
      </c>
      <c r="D28" s="36">
        <f>'[4]Sheet1'!$R$12</f>
        <v>278584</v>
      </c>
      <c r="E28" s="36">
        <f>D28-C28</f>
        <v>27675</v>
      </c>
      <c r="F28" s="36">
        <f>'[4]Sheet1'!$U$12</f>
        <v>214595</v>
      </c>
      <c r="G28" s="36">
        <f>C28-F28</f>
        <v>36314</v>
      </c>
      <c r="H28" s="63"/>
      <c r="I28" s="62"/>
    </row>
    <row r="29" spans="2:9" ht="13.5" thickBot="1">
      <c r="B29" s="26" t="s">
        <v>28</v>
      </c>
      <c r="C29" s="37">
        <f>C28</f>
        <v>250909</v>
      </c>
      <c r="D29" s="37">
        <f>D28</f>
        <v>278584</v>
      </c>
      <c r="E29" s="37">
        <f>E28</f>
        <v>27675</v>
      </c>
      <c r="F29" s="37">
        <f>F28</f>
        <v>214595</v>
      </c>
      <c r="G29" s="37">
        <f>G28</f>
        <v>36314</v>
      </c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3.5" thickBot="1">
      <c r="B31" s="10" t="s">
        <v>29</v>
      </c>
      <c r="C31" s="62"/>
      <c r="D31" s="62"/>
      <c r="E31" s="62"/>
      <c r="F31" s="62"/>
      <c r="G31" s="62"/>
      <c r="H31" s="62"/>
      <c r="I31" s="62"/>
    </row>
    <row r="32" spans="2:9" ht="103.5" customHeight="1" thickBot="1">
      <c r="B32" s="34" t="s">
        <v>4</v>
      </c>
      <c r="C32" s="13" t="s">
        <v>30</v>
      </c>
      <c r="D32" s="39" t="s">
        <v>31</v>
      </c>
      <c r="E32" s="35" t="s">
        <v>7</v>
      </c>
      <c r="F32" s="13" t="s">
        <v>32</v>
      </c>
      <c r="G32" s="34" t="s">
        <v>9</v>
      </c>
      <c r="H32" s="62"/>
      <c r="I32" s="62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62"/>
      <c r="I33" s="62"/>
    </row>
    <row r="34" spans="2:9" ht="16.5" customHeight="1">
      <c r="B34" s="40" t="s">
        <v>33</v>
      </c>
      <c r="C34" s="21">
        <f>'[4]Sheet1'!$N$33</f>
        <v>235125</v>
      </c>
      <c r="D34" s="21">
        <f>'[4]Sheet1'!$R$33</f>
        <v>261059</v>
      </c>
      <c r="E34" s="21">
        <f>D34-C34</f>
        <v>25934</v>
      </c>
      <c r="F34" s="21">
        <f>C34</f>
        <v>235125</v>
      </c>
      <c r="G34" s="21">
        <f>C34-F34</f>
        <v>0</v>
      </c>
      <c r="H34" s="62"/>
      <c r="I34" s="62"/>
    </row>
    <row r="35" spans="2:9" ht="24" customHeight="1" thickBot="1">
      <c r="B35" s="41"/>
      <c r="C35" s="42"/>
      <c r="D35" s="42"/>
      <c r="E35" s="42"/>
      <c r="F35" s="42"/>
      <c r="G35" s="42"/>
      <c r="H35" s="62"/>
      <c r="I35" s="62"/>
    </row>
    <row r="36" spans="2:9" ht="17.25" customHeight="1">
      <c r="B36" s="40" t="s">
        <v>34</v>
      </c>
      <c r="C36" s="21">
        <v>1101245.4</v>
      </c>
      <c r="D36" s="21">
        <f>967975.36+156080.41</f>
        <v>1124055.77</v>
      </c>
      <c r="E36" s="21">
        <f>D36-C36</f>
        <v>22810.37000000011</v>
      </c>
      <c r="F36" s="21">
        <f>'[4]Sheet1'!$T$36</f>
        <v>1273432</v>
      </c>
      <c r="G36" s="21">
        <f>C36-F36</f>
        <v>-172186.6000000001</v>
      </c>
      <c r="H36" s="62"/>
      <c r="I36" s="62"/>
    </row>
    <row r="37" spans="2:9" ht="13.5" thickBot="1">
      <c r="B37" s="41"/>
      <c r="C37" s="42"/>
      <c r="D37" s="42"/>
      <c r="E37" s="42"/>
      <c r="F37" s="42"/>
      <c r="G37" s="42"/>
      <c r="H37" s="62"/>
      <c r="I37" s="62"/>
    </row>
    <row r="38" spans="2:9" ht="13.5" thickBot="1">
      <c r="B38" s="32" t="s">
        <v>35</v>
      </c>
      <c r="C38" s="37">
        <f>C34+C36</f>
        <v>1336370.4</v>
      </c>
      <c r="D38" s="37">
        <f>D34+D36</f>
        <v>1385114.77</v>
      </c>
      <c r="E38" s="37">
        <f>E34+E36</f>
        <v>48744.37000000011</v>
      </c>
      <c r="F38" s="37">
        <f>F34+F36</f>
        <v>1508557</v>
      </c>
      <c r="G38" s="37">
        <f>G34+G36</f>
        <v>-172186.6000000001</v>
      </c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43" t="s">
        <v>69</v>
      </c>
      <c r="C41" s="62"/>
      <c r="D41" s="62"/>
      <c r="E41" s="62"/>
      <c r="F41" s="62"/>
      <c r="G41" s="44">
        <f>F43+F44</f>
        <v>145742.3700000001</v>
      </c>
      <c r="H41" s="62"/>
      <c r="I41" s="62"/>
    </row>
    <row r="42" spans="2:9" ht="12.75">
      <c r="B42" s="45" t="s">
        <v>37</v>
      </c>
      <c r="C42" s="63"/>
      <c r="D42" s="62"/>
      <c r="E42" s="62"/>
      <c r="F42" s="62"/>
      <c r="G42" s="62"/>
      <c r="H42" s="62"/>
      <c r="I42" s="62"/>
    </row>
    <row r="43" spans="2:9" ht="12.75">
      <c r="B43" s="46" t="s">
        <v>65</v>
      </c>
      <c r="C43" s="62"/>
      <c r="D43" s="62"/>
      <c r="E43" s="62"/>
      <c r="F43" s="47">
        <f>(E23+E29)</f>
        <v>96998</v>
      </c>
      <c r="G43" s="62"/>
      <c r="H43" s="62"/>
      <c r="I43" s="62"/>
    </row>
    <row r="44" spans="2:9" ht="12.75">
      <c r="B44" s="46" t="s">
        <v>59</v>
      </c>
      <c r="C44" s="62"/>
      <c r="D44" s="62"/>
      <c r="E44" s="62"/>
      <c r="F44" s="47">
        <f>(E38)</f>
        <v>48744.37000000011</v>
      </c>
      <c r="G44" s="62"/>
      <c r="H44" s="62"/>
      <c r="I44" s="62"/>
    </row>
    <row r="45" spans="2:9" ht="12.75">
      <c r="B45" s="46"/>
      <c r="C45" s="62"/>
      <c r="D45" s="62"/>
      <c r="E45" s="62"/>
      <c r="F45" s="47"/>
      <c r="G45" s="62"/>
      <c r="H45" s="62"/>
      <c r="I45" s="62"/>
    </row>
    <row r="46" spans="2:9" s="1" customFormat="1" ht="12.75">
      <c r="B46" s="48" t="s">
        <v>40</v>
      </c>
      <c r="C46" s="64"/>
      <c r="D46" s="64"/>
      <c r="E46" s="65"/>
      <c r="F46" s="51"/>
      <c r="G46" s="44">
        <f>F48+F49</f>
        <v>-172186.6000000001</v>
      </c>
      <c r="H46" s="64"/>
      <c r="I46" s="64"/>
    </row>
    <row r="47" spans="2:9" s="1" customFormat="1" ht="12.75">
      <c r="B47" s="45" t="s">
        <v>37</v>
      </c>
      <c r="C47" s="64"/>
      <c r="D47" s="64"/>
      <c r="E47" s="65"/>
      <c r="F47" s="51"/>
      <c r="G47" s="52"/>
      <c r="H47" s="64"/>
      <c r="I47" s="64"/>
    </row>
    <row r="48" spans="2:9" s="1" customFormat="1" ht="12.75">
      <c r="B48" s="46" t="s">
        <v>41</v>
      </c>
      <c r="C48" s="64"/>
      <c r="D48" s="64"/>
      <c r="E48" s="65"/>
      <c r="F48" s="47">
        <f>IF((G23+G29)&lt;=0,G23+G29,0)</f>
        <v>0</v>
      </c>
      <c r="G48" s="52"/>
      <c r="H48" s="64"/>
      <c r="I48" s="64"/>
    </row>
    <row r="49" spans="2:9" s="1" customFormat="1" ht="12.75">
      <c r="B49" s="46" t="s">
        <v>42</v>
      </c>
      <c r="C49" s="64"/>
      <c r="D49" s="64"/>
      <c r="E49" s="65"/>
      <c r="F49" s="47">
        <f>IF(G38&lt;=0,G38,0)</f>
        <v>-172186.6000000001</v>
      </c>
      <c r="G49" s="52"/>
      <c r="H49" s="64"/>
      <c r="I49" s="64"/>
    </row>
    <row r="50" spans="2:9" s="1" customFormat="1" ht="12.75">
      <c r="B50" s="46"/>
      <c r="C50" s="64"/>
      <c r="D50" s="64"/>
      <c r="E50" s="65"/>
      <c r="F50" s="51"/>
      <c r="G50" s="52"/>
      <c r="H50" s="64"/>
      <c r="I50" s="64"/>
    </row>
    <row r="51" spans="2:9" s="1" customFormat="1" ht="12.75">
      <c r="B51" s="48" t="s">
        <v>60</v>
      </c>
      <c r="C51" s="64"/>
      <c r="D51" s="64"/>
      <c r="E51" s="65"/>
      <c r="F51" s="51"/>
      <c r="G51" s="44">
        <f>F53+F54</f>
        <v>36314</v>
      </c>
      <c r="H51" s="64"/>
      <c r="I51" s="64"/>
    </row>
    <row r="52" spans="2:9" ht="12.75">
      <c r="B52" s="45" t="s">
        <v>37</v>
      </c>
      <c r="C52" s="62"/>
      <c r="D52" s="62"/>
      <c r="E52" s="62"/>
      <c r="F52" s="33"/>
      <c r="G52" s="52"/>
      <c r="H52" s="62"/>
      <c r="I52" s="62"/>
    </row>
    <row r="53" spans="2:9" ht="12.75">
      <c r="B53" s="46" t="s">
        <v>41</v>
      </c>
      <c r="C53" s="62"/>
      <c r="D53" s="62"/>
      <c r="E53" s="62"/>
      <c r="F53" s="47">
        <f>IF((G23+G29)&gt;0,G23+G29,0)</f>
        <v>36314</v>
      </c>
      <c r="G53" s="62"/>
      <c r="H53" s="62"/>
      <c r="I53" s="62"/>
    </row>
    <row r="54" spans="2:9" ht="12.75">
      <c r="B54" s="46" t="s">
        <v>42</v>
      </c>
      <c r="C54" s="62"/>
      <c r="D54" s="62"/>
      <c r="E54" s="62"/>
      <c r="F54" s="47">
        <f>IF(G38&gt;0,G38,0)</f>
        <v>0</v>
      </c>
      <c r="G54" s="62"/>
      <c r="H54" s="62"/>
      <c r="I54" s="62"/>
    </row>
    <row r="55" spans="2:9" ht="12.75">
      <c r="B55" s="46"/>
      <c r="C55" s="62"/>
      <c r="D55" s="62"/>
      <c r="E55" s="62"/>
      <c r="F55" s="47"/>
      <c r="G55" s="62"/>
      <c r="H55" s="62"/>
      <c r="I55" s="62"/>
    </row>
    <row r="56" spans="2:9" ht="12.75">
      <c r="B56" s="53" t="s">
        <v>44</v>
      </c>
      <c r="C56" s="11"/>
      <c r="D56" s="11"/>
      <c r="E56" s="11"/>
      <c r="F56" s="33"/>
      <c r="G56" s="11"/>
      <c r="H56" s="11"/>
      <c r="I56" s="11"/>
    </row>
    <row r="57" spans="2:9" ht="12.75">
      <c r="B57" s="33" t="s">
        <v>45</v>
      </c>
      <c r="C57" s="11"/>
      <c r="D57" s="11"/>
      <c r="E57" s="54"/>
      <c r="F57" s="51"/>
      <c r="G57" s="44">
        <f>1627.82+400+700+1800*2</f>
        <v>6327.82</v>
      </c>
      <c r="H57" s="11"/>
      <c r="I57" s="11"/>
    </row>
    <row r="58" spans="2:9" ht="12.75">
      <c r="B58" s="10"/>
      <c r="C58" s="11"/>
      <c r="D58" s="11"/>
      <c r="E58" s="11"/>
      <c r="F58" s="11"/>
      <c r="G58" s="11"/>
      <c r="H58" s="11"/>
      <c r="I58" s="11"/>
    </row>
    <row r="59" spans="2:9" ht="12.75">
      <c r="B59" s="46"/>
      <c r="C59" s="11"/>
      <c r="D59" s="11"/>
      <c r="E59" s="11"/>
      <c r="F59" s="47"/>
      <c r="G59" s="11"/>
      <c r="H59" s="11"/>
      <c r="I59" s="11"/>
    </row>
    <row r="60" spans="2:9" ht="15.75">
      <c r="B60" s="55" t="s">
        <v>46</v>
      </c>
      <c r="C60" s="11"/>
      <c r="D60" s="11"/>
      <c r="E60" s="11"/>
      <c r="F60" s="56">
        <f>G46+G51+G57</f>
        <v>-129544.78000000009</v>
      </c>
      <c r="G60" s="56" t="s">
        <v>47</v>
      </c>
      <c r="H60" s="11"/>
      <c r="I60" s="11"/>
    </row>
    <row r="61" spans="2:9" ht="12.75">
      <c r="B61" s="57" t="s">
        <v>48</v>
      </c>
      <c r="C61" s="11"/>
      <c r="D61" s="11"/>
      <c r="E61" s="11"/>
      <c r="F61" s="47"/>
      <c r="G61" s="11"/>
      <c r="H61" s="11"/>
      <c r="I61" s="11"/>
    </row>
    <row r="62" spans="2:9" ht="12.75">
      <c r="B62" s="57" t="s">
        <v>49</v>
      </c>
      <c r="C62" s="11"/>
      <c r="D62" s="11"/>
      <c r="E62" s="11"/>
      <c r="F62" s="47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5.75">
      <c r="B64" s="55" t="s">
        <v>70</v>
      </c>
      <c r="C64" s="11"/>
      <c r="D64" s="11"/>
      <c r="E64" s="11"/>
      <c r="F64" s="56">
        <f>-147846.21-191771.13</f>
        <v>-339617.33999999997</v>
      </c>
      <c r="G64" s="56" t="s">
        <v>47</v>
      </c>
      <c r="H64" s="11"/>
      <c r="I64" s="11"/>
    </row>
    <row r="65" spans="2:9" ht="12.75">
      <c r="B65" s="57" t="s">
        <v>51</v>
      </c>
      <c r="C65" s="11"/>
      <c r="D65" s="11"/>
      <c r="E65" s="11"/>
      <c r="F65" s="47"/>
      <c r="G65" s="11"/>
      <c r="H65" s="11"/>
      <c r="I65" s="11"/>
    </row>
    <row r="66" spans="2:9" ht="12.75">
      <c r="B66" s="57" t="s">
        <v>52</v>
      </c>
      <c r="C66" s="11"/>
      <c r="D66" s="11"/>
      <c r="E66" s="11"/>
      <c r="F66" s="47"/>
      <c r="G66" s="11"/>
      <c r="H66" s="11"/>
      <c r="I66" s="11"/>
    </row>
    <row r="67" spans="2:9" ht="12.75">
      <c r="B67" s="33"/>
      <c r="C67" s="62"/>
      <c r="D67" s="62"/>
      <c r="E67" s="62"/>
      <c r="F67" s="62"/>
      <c r="G67" s="62"/>
      <c r="H67" s="62"/>
      <c r="I67" s="62"/>
    </row>
    <row r="68" spans="1:9" s="33" customFormat="1" ht="15.75">
      <c r="A68" s="11"/>
      <c r="B68" s="58" t="s">
        <v>63</v>
      </c>
      <c r="C68" s="58"/>
      <c r="D68" s="58"/>
      <c r="E68" s="11"/>
      <c r="F68" s="56">
        <f>F60+F64</f>
        <v>-469162.12000000005</v>
      </c>
      <c r="G68" s="56" t="s">
        <v>47</v>
      </c>
      <c r="H68" s="11"/>
      <c r="I68" s="11"/>
    </row>
    <row r="69" spans="1:9" ht="12.75">
      <c r="A69" s="11"/>
      <c r="B69" s="38" t="s">
        <v>48</v>
      </c>
      <c r="C69" s="38"/>
      <c r="D69" s="11"/>
      <c r="E69" s="11"/>
      <c r="F69" s="47"/>
      <c r="G69" s="11"/>
      <c r="H69" s="11"/>
      <c r="I69" s="11"/>
    </row>
    <row r="70" spans="1:9" ht="12.75">
      <c r="A70" s="11"/>
      <c r="B70" s="38" t="s">
        <v>49</v>
      </c>
      <c r="C70" s="11"/>
      <c r="D70" s="11"/>
      <c r="E70" s="11"/>
      <c r="F70" s="47"/>
      <c r="G70" s="11"/>
      <c r="H70" s="11"/>
      <c r="I70" s="11"/>
    </row>
    <row r="71" spans="2:6" ht="14.25">
      <c r="B71" s="61"/>
      <c r="C71" s="61"/>
      <c r="D71" s="61"/>
      <c r="E71" s="61"/>
      <c r="F71" s="61"/>
    </row>
    <row r="72" spans="1:9" ht="12.75">
      <c r="A72" s="33"/>
      <c r="B72" s="33"/>
      <c r="C72" s="59" t="s">
        <v>54</v>
      </c>
      <c r="D72" s="33"/>
      <c r="E72" s="33"/>
      <c r="F72" s="33"/>
      <c r="G72" s="33"/>
      <c r="H72" s="33"/>
      <c r="I72" s="33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="33" customFormat="1" ht="12.75">
      <c r="A74" s="51"/>
    </row>
    <row r="75" spans="2:6" ht="15">
      <c r="B75" s="60"/>
      <c r="C75" s="61"/>
      <c r="D75" s="61"/>
      <c r="E75" s="61"/>
      <c r="F75" s="61"/>
    </row>
    <row r="76" spans="2:6" ht="14.25">
      <c r="B76" s="61"/>
      <c r="C76" s="61"/>
      <c r="D76" s="61"/>
      <c r="E76" s="61"/>
      <c r="F76" s="61"/>
    </row>
    <row r="77" spans="2:6" ht="14.25">
      <c r="B77" s="61"/>
      <c r="C77" s="61"/>
      <c r="D77" s="61"/>
      <c r="E77" s="61"/>
      <c r="F77" s="61"/>
    </row>
    <row r="78" spans="2:6" ht="14.25">
      <c r="B78" s="61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3:G13"/>
    <mergeCell ref="B34:B35"/>
    <mergeCell ref="C34:C35"/>
    <mergeCell ref="D34:D35"/>
    <mergeCell ref="E34:E35"/>
    <mergeCell ref="F34:F35"/>
    <mergeCell ref="G34:G35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25">
      <selection activeCell="L31" sqref="L31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71</v>
      </c>
      <c r="E2" s="3"/>
      <c r="F2" s="3"/>
    </row>
    <row r="3" spans="2:6" ht="18.75">
      <c r="B3" s="3"/>
      <c r="D3" s="7" t="s">
        <v>2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'[5]Sheet1'!$N$15</f>
        <v>141237</v>
      </c>
      <c r="D9" s="21">
        <f>'[5]Sheet1'!$R$15</f>
        <v>152335</v>
      </c>
      <c r="E9" s="21">
        <f>D9-C9</f>
        <v>11098</v>
      </c>
      <c r="F9" s="21">
        <f>'[5]Sheet1'!$T$15</f>
        <v>141237</v>
      </c>
      <c r="G9" s="66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67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68"/>
      <c r="H11" s="62"/>
      <c r="I11" s="62"/>
    </row>
    <row r="12" spans="2:9" ht="13.5" thickBot="1">
      <c r="B12" s="26" t="s">
        <v>16</v>
      </c>
      <c r="C12" s="27">
        <f>C9</f>
        <v>141237</v>
      </c>
      <c r="D12" s="27">
        <f>D9</f>
        <v>152335</v>
      </c>
      <c r="E12" s="27">
        <f>E9</f>
        <v>11098</v>
      </c>
      <c r="F12" s="27">
        <f>F9</f>
        <v>141237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68</v>
      </c>
      <c r="C14" s="31" t="str">
        <f>'[5]Sheet1'!$N$17</f>
        <v> </v>
      </c>
      <c r="D14" s="31" t="str">
        <f>'[5]Sheet1'!$R$17</f>
        <v> </v>
      </c>
      <c r="E14" s="31"/>
      <c r="F14" s="31" t="str">
        <f>C14</f>
        <v> </v>
      </c>
      <c r="G14" s="31"/>
      <c r="H14" s="62"/>
      <c r="I14" s="62"/>
    </row>
    <row r="15" spans="2:9" ht="27" customHeight="1" thickBot="1">
      <c r="B15" s="24" t="s">
        <v>18</v>
      </c>
      <c r="C15" s="31">
        <f>'[5]Sheet1'!$N$18</f>
        <v>41269</v>
      </c>
      <c r="D15" s="31">
        <f>'[5]Sheet1'!$R$18</f>
        <v>44512</v>
      </c>
      <c r="E15" s="31">
        <f aca="true" t="shared" si="0" ref="E15:E21">D15-C15</f>
        <v>3243</v>
      </c>
      <c r="F15" s="31">
        <f>'[5]Sheet1'!$T$18</f>
        <v>41269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'[5]Sheet1'!$N$19</f>
        <v>2710</v>
      </c>
      <c r="D16" s="31">
        <f>'[5]Sheet1'!$R$19</f>
        <v>2923</v>
      </c>
      <c r="E16" s="31">
        <f t="shared" si="0"/>
        <v>213</v>
      </c>
      <c r="F16" s="31">
        <f>'[5]Sheet1'!$T$19</f>
        <v>2710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'[5]Sheet1'!$N$20</f>
        <v>11680</v>
      </c>
      <c r="D17" s="31">
        <f>'[5]Sheet1'!$R$20</f>
        <v>12598</v>
      </c>
      <c r="E17" s="31">
        <f t="shared" si="0"/>
        <v>918</v>
      </c>
      <c r="F17" s="31">
        <f>'[5]Sheet1'!$T$20</f>
        <v>11680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'[5]Sheet1'!$N$25</f>
        <v>185742</v>
      </c>
      <c r="D18" s="31">
        <f>'[5]Sheet1'!$R$25</f>
        <v>200337</v>
      </c>
      <c r="E18" s="31">
        <f t="shared" si="0"/>
        <v>14595</v>
      </c>
      <c r="F18" s="31">
        <f>'[5]Sheet1'!$T$25</f>
        <v>185742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'[5]Sheet1'!$N$24</f>
        <v>54454</v>
      </c>
      <c r="D19" s="31">
        <f>'[5]Sheet1'!$R$24</f>
        <v>58733</v>
      </c>
      <c r="E19" s="31">
        <f t="shared" si="0"/>
        <v>4279</v>
      </c>
      <c r="F19" s="31">
        <f>C19</f>
        <v>54454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'[5]Sheet1'!$N$26</f>
        <v>110085</v>
      </c>
      <c r="D20" s="31">
        <f>'[5]Sheet1'!$R$26</f>
        <v>118736</v>
      </c>
      <c r="E20" s="31">
        <f t="shared" si="0"/>
        <v>8651</v>
      </c>
      <c r="F20" s="31">
        <f>'[5]Sheet1'!$T$26</f>
        <v>110085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'[5]Sheet1'!$N$41+'[5]Sheet1'!$N$42</f>
        <v>12765</v>
      </c>
      <c r="D21" s="31">
        <f>'[5]Sheet1'!$R$41+'[5]Sheet1'!$R$42</f>
        <v>13768</v>
      </c>
      <c r="E21" s="31">
        <f t="shared" si="0"/>
        <v>1003</v>
      </c>
      <c r="F21" s="31">
        <f>'[5]Sheet1'!$T$41+'[5]Sheet1'!$T$42</f>
        <v>12765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SUM(C14:C21)</f>
        <v>418705</v>
      </c>
      <c r="D22" s="27">
        <f>SUM(D14:D21)</f>
        <v>451607</v>
      </c>
      <c r="E22" s="27">
        <f>SUM(E14:E21)</f>
        <v>32902</v>
      </c>
      <c r="F22" s="27">
        <f>SUM(F14:F21)</f>
        <v>418705</v>
      </c>
      <c r="G22" s="27">
        <f>SUM(G14:G21)</f>
        <v>0</v>
      </c>
      <c r="H22" s="62"/>
      <c r="I22" s="62"/>
    </row>
    <row r="23" spans="2:9" ht="13.5" thickBot="1">
      <c r="B23" s="32" t="s">
        <v>23</v>
      </c>
      <c r="C23" s="27">
        <f>C12+C22</f>
        <v>559942</v>
      </c>
      <c r="D23" s="27">
        <f>D12+D22</f>
        <v>603942</v>
      </c>
      <c r="E23" s="27">
        <f>E12+E22</f>
        <v>44000</v>
      </c>
      <c r="F23" s="27">
        <f>F12+F22</f>
        <v>559942</v>
      </c>
      <c r="G23" s="27">
        <f>G12+G22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3.5" thickBot="1">
      <c r="B25" s="10" t="s">
        <v>72</v>
      </c>
      <c r="C25" s="62"/>
      <c r="D25" s="62"/>
      <c r="E25" s="62"/>
      <c r="F25" s="62"/>
      <c r="G25" s="62"/>
      <c r="H25" s="62"/>
      <c r="I25" s="62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62"/>
      <c r="I26" s="62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62"/>
      <c r="I27" s="62"/>
    </row>
    <row r="28" spans="2:9" ht="38.25" customHeight="1" thickBot="1">
      <c r="B28" s="24" t="s">
        <v>27</v>
      </c>
      <c r="C28" s="36">
        <f>'[5]Sheet1'!$N$12</f>
        <v>252975</v>
      </c>
      <c r="D28" s="36">
        <f>'[5]Sheet1'!$R$12</f>
        <v>272853</v>
      </c>
      <c r="E28" s="36">
        <f>D28-C28</f>
        <v>19878</v>
      </c>
      <c r="F28" s="36">
        <v>268021</v>
      </c>
      <c r="G28" s="36">
        <f>C28-F28</f>
        <v>-15046</v>
      </c>
      <c r="H28" s="63"/>
      <c r="I28" s="62"/>
    </row>
    <row r="29" spans="2:9" ht="13.5" thickBot="1">
      <c r="B29" s="26" t="s">
        <v>28</v>
      </c>
      <c r="C29" s="37">
        <f>C28</f>
        <v>252975</v>
      </c>
      <c r="D29" s="37">
        <f>D28</f>
        <v>272853</v>
      </c>
      <c r="E29" s="37">
        <f>E28</f>
        <v>19878</v>
      </c>
      <c r="F29" s="37">
        <f>F28</f>
        <v>268021</v>
      </c>
      <c r="G29" s="37">
        <f>G28</f>
        <v>-15046</v>
      </c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3.5" thickBot="1">
      <c r="B31" s="10" t="s">
        <v>29</v>
      </c>
      <c r="C31" s="62"/>
      <c r="D31" s="62"/>
      <c r="E31" s="62"/>
      <c r="F31" s="62"/>
      <c r="G31" s="62"/>
      <c r="H31" s="62"/>
      <c r="I31" s="62"/>
    </row>
    <row r="32" spans="2:9" ht="103.5" customHeight="1" thickBot="1">
      <c r="B32" s="34" t="s">
        <v>4</v>
      </c>
      <c r="C32" s="13" t="s">
        <v>30</v>
      </c>
      <c r="D32" s="39" t="s">
        <v>31</v>
      </c>
      <c r="E32" s="35" t="s">
        <v>7</v>
      </c>
      <c r="F32" s="13" t="s">
        <v>32</v>
      </c>
      <c r="G32" s="34" t="s">
        <v>9</v>
      </c>
      <c r="H32" s="62"/>
      <c r="I32" s="62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62"/>
      <c r="I33" s="62"/>
    </row>
    <row r="34" spans="2:9" ht="16.5" customHeight="1">
      <c r="B34" s="40" t="s">
        <v>73</v>
      </c>
      <c r="C34" s="21">
        <f>'[5]Sheet1'!$N$33</f>
        <v>260042</v>
      </c>
      <c r="D34" s="21">
        <f>'[5]Sheet1'!$R$33</f>
        <v>280475</v>
      </c>
      <c r="E34" s="21">
        <f>D34-C34</f>
        <v>20433</v>
      </c>
      <c r="F34" s="21">
        <f>C34</f>
        <v>260042</v>
      </c>
      <c r="G34" s="21">
        <f>C34-F34</f>
        <v>0</v>
      </c>
      <c r="H34" s="62"/>
      <c r="I34" s="62"/>
    </row>
    <row r="35" spans="2:9" ht="24" customHeight="1" thickBot="1">
      <c r="B35" s="41"/>
      <c r="C35" s="42"/>
      <c r="D35" s="42"/>
      <c r="E35" s="42"/>
      <c r="F35" s="42"/>
      <c r="G35" s="42"/>
      <c r="H35" s="62"/>
      <c r="I35" s="62"/>
    </row>
    <row r="36" spans="2:9" ht="17.25" customHeight="1">
      <c r="B36" s="40" t="s">
        <v>34</v>
      </c>
      <c r="C36" s="21">
        <f>'[5]Sheet1'!$N$36</f>
        <v>1493195</v>
      </c>
      <c r="D36" s="21">
        <f>1418314.15+57645.74</f>
        <v>1475959.89</v>
      </c>
      <c r="E36" s="21">
        <f>D36-C36</f>
        <v>-17235.110000000102</v>
      </c>
      <c r="F36" s="21">
        <f>'[5]Sheet1'!$T$36</f>
        <v>1414526</v>
      </c>
      <c r="G36" s="21">
        <f>C36-F36</f>
        <v>78669</v>
      </c>
      <c r="H36" s="62"/>
      <c r="I36" s="62"/>
    </row>
    <row r="37" spans="2:9" ht="13.5" thickBot="1">
      <c r="B37" s="41"/>
      <c r="C37" s="42"/>
      <c r="D37" s="42"/>
      <c r="E37" s="42"/>
      <c r="F37" s="42"/>
      <c r="G37" s="42"/>
      <c r="H37" s="62"/>
      <c r="I37" s="62"/>
    </row>
    <row r="38" spans="2:9" ht="13.5" thickBot="1">
      <c r="B38" s="32" t="s">
        <v>35</v>
      </c>
      <c r="C38" s="37">
        <f>C34+C36</f>
        <v>1753237</v>
      </c>
      <c r="D38" s="37">
        <f>D34+D36</f>
        <v>1756434.89</v>
      </c>
      <c r="E38" s="37">
        <f>E34+E36</f>
        <v>3197.8899999998976</v>
      </c>
      <c r="F38" s="37">
        <f>F34+F36</f>
        <v>1674568</v>
      </c>
      <c r="G38" s="37">
        <f>G34+G36</f>
        <v>78669</v>
      </c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43" t="s">
        <v>36</v>
      </c>
      <c r="C40" s="62"/>
      <c r="D40" s="62"/>
      <c r="E40" s="62"/>
      <c r="F40" s="62"/>
      <c r="G40" s="44">
        <f>F42+F43</f>
        <v>67075.8899999999</v>
      </c>
      <c r="H40" s="62"/>
      <c r="I40" s="62"/>
    </row>
    <row r="41" spans="2:9" ht="12.75">
      <c r="B41" s="45" t="s">
        <v>37</v>
      </c>
      <c r="C41" s="63"/>
      <c r="D41" s="62"/>
      <c r="E41" s="62"/>
      <c r="F41" s="62"/>
      <c r="G41" s="62"/>
      <c r="H41" s="62"/>
      <c r="I41" s="62"/>
    </row>
    <row r="42" spans="2:9" ht="12.75">
      <c r="B42" s="46" t="s">
        <v>65</v>
      </c>
      <c r="C42" s="62"/>
      <c r="D42" s="62"/>
      <c r="E42" s="62"/>
      <c r="F42" s="47">
        <f>(E23+E29)</f>
        <v>63878</v>
      </c>
      <c r="G42" s="62"/>
      <c r="H42" s="62"/>
      <c r="I42" s="62"/>
    </row>
    <row r="43" spans="2:9" ht="12.75">
      <c r="B43" s="46" t="s">
        <v>59</v>
      </c>
      <c r="C43" s="62"/>
      <c r="D43" s="62"/>
      <c r="E43" s="62"/>
      <c r="F43" s="47">
        <f>(E38)</f>
        <v>3197.8899999998976</v>
      </c>
      <c r="G43" s="62"/>
      <c r="H43" s="62"/>
      <c r="I43" s="62"/>
    </row>
    <row r="44" spans="2:9" ht="12.75">
      <c r="B44" s="57" t="s">
        <v>74</v>
      </c>
      <c r="C44" s="62"/>
      <c r="D44" s="62"/>
      <c r="E44" s="62"/>
      <c r="F44" s="47"/>
      <c r="G44" s="62"/>
      <c r="H44" s="62"/>
      <c r="I44" s="62"/>
    </row>
    <row r="45" spans="2:9" ht="12.75">
      <c r="B45" s="57" t="s">
        <v>52</v>
      </c>
      <c r="C45" s="62"/>
      <c r="D45" s="62"/>
      <c r="E45" s="62"/>
      <c r="F45" s="47"/>
      <c r="G45" s="62"/>
      <c r="H45" s="62"/>
      <c r="I45" s="62"/>
    </row>
    <row r="46" spans="2:9" ht="12.75">
      <c r="B46" s="46"/>
      <c r="C46" s="62"/>
      <c r="D46" s="62"/>
      <c r="E46" s="62"/>
      <c r="F46" s="47"/>
      <c r="G46" s="62"/>
      <c r="H46" s="62"/>
      <c r="I46" s="62"/>
    </row>
    <row r="47" spans="2:9" s="1" customFormat="1" ht="12.75">
      <c r="B47" s="48" t="s">
        <v>40</v>
      </c>
      <c r="C47" s="64"/>
      <c r="D47" s="64"/>
      <c r="E47" s="65"/>
      <c r="F47" s="51"/>
      <c r="G47" s="44">
        <f>F49+F50</f>
        <v>-15046</v>
      </c>
      <c r="H47" s="64"/>
      <c r="I47" s="64"/>
    </row>
    <row r="48" spans="2:9" s="1" customFormat="1" ht="12.75">
      <c r="B48" s="45" t="s">
        <v>37</v>
      </c>
      <c r="C48" s="64"/>
      <c r="D48" s="64"/>
      <c r="E48" s="65"/>
      <c r="F48" s="51"/>
      <c r="G48" s="52"/>
      <c r="H48" s="64"/>
      <c r="I48" s="64"/>
    </row>
    <row r="49" spans="2:9" s="1" customFormat="1" ht="12.75">
      <c r="B49" s="46" t="s">
        <v>41</v>
      </c>
      <c r="C49" s="64"/>
      <c r="D49" s="64"/>
      <c r="E49" s="65"/>
      <c r="F49" s="47">
        <f>IF((G23+G29)&lt;=0,G23+G29,0)</f>
        <v>-15046</v>
      </c>
      <c r="G49" s="52"/>
      <c r="H49" s="64"/>
      <c r="I49" s="64"/>
    </row>
    <row r="50" spans="2:9" s="1" customFormat="1" ht="12.75">
      <c r="B50" s="46" t="s">
        <v>42</v>
      </c>
      <c r="C50" s="64"/>
      <c r="D50" s="64"/>
      <c r="E50" s="65"/>
      <c r="F50" s="47">
        <f>IF(G38&lt;=0,G38,0)</f>
        <v>0</v>
      </c>
      <c r="G50" s="52"/>
      <c r="H50" s="64"/>
      <c r="I50" s="64"/>
    </row>
    <row r="51" spans="2:9" s="1" customFormat="1" ht="12.75">
      <c r="B51" s="46"/>
      <c r="C51" s="64"/>
      <c r="D51" s="64"/>
      <c r="E51" s="65"/>
      <c r="F51" s="51"/>
      <c r="G51" s="52"/>
      <c r="H51" s="64"/>
      <c r="I51" s="64"/>
    </row>
    <row r="52" spans="2:9" s="1" customFormat="1" ht="12.75">
      <c r="B52" s="48" t="s">
        <v>43</v>
      </c>
      <c r="C52" s="64"/>
      <c r="D52" s="64"/>
      <c r="E52" s="65"/>
      <c r="F52" s="51"/>
      <c r="G52" s="44">
        <f>F54+F55</f>
        <v>78669</v>
      </c>
      <c r="H52" s="64"/>
      <c r="I52" s="64"/>
    </row>
    <row r="53" spans="2:9" ht="12.75">
      <c r="B53" s="45" t="s">
        <v>37</v>
      </c>
      <c r="C53" s="62"/>
      <c r="D53" s="62"/>
      <c r="E53" s="62"/>
      <c r="F53" s="33"/>
      <c r="G53" s="52"/>
      <c r="H53" s="62"/>
      <c r="I53" s="62"/>
    </row>
    <row r="54" spans="2:9" ht="12.75">
      <c r="B54" s="46" t="s">
        <v>41</v>
      </c>
      <c r="C54" s="62"/>
      <c r="D54" s="62"/>
      <c r="E54" s="62"/>
      <c r="F54" s="47">
        <f>IF((G23+G29)&gt;0,G23+G29,0)</f>
        <v>0</v>
      </c>
      <c r="G54" s="62"/>
      <c r="H54" s="62"/>
      <c r="I54" s="62"/>
    </row>
    <row r="55" spans="2:9" ht="12.75">
      <c r="B55" s="46" t="s">
        <v>42</v>
      </c>
      <c r="C55" s="62"/>
      <c r="D55" s="62"/>
      <c r="E55" s="62"/>
      <c r="F55" s="47">
        <f>IF(G38&gt;0,G38,0)</f>
        <v>78669</v>
      </c>
      <c r="G55" s="62"/>
      <c r="H55" s="62"/>
      <c r="I55" s="62"/>
    </row>
    <row r="56" spans="2:9" ht="12.75">
      <c r="B56" s="46"/>
      <c r="C56" s="62"/>
      <c r="D56" s="62"/>
      <c r="E56" s="62"/>
      <c r="F56" s="47"/>
      <c r="G56" s="62"/>
      <c r="H56" s="62"/>
      <c r="I56" s="62"/>
    </row>
    <row r="57" spans="2:9" ht="12.75">
      <c r="B57" s="53" t="s">
        <v>44</v>
      </c>
      <c r="C57" s="11"/>
      <c r="D57" s="11"/>
      <c r="E57" s="11"/>
      <c r="F57" s="33"/>
      <c r="G57" s="11"/>
      <c r="H57" s="11"/>
      <c r="I57" s="11"/>
    </row>
    <row r="58" spans="2:9" ht="12.75">
      <c r="B58" s="33" t="s">
        <v>45</v>
      </c>
      <c r="C58" s="11"/>
      <c r="D58" s="11"/>
      <c r="E58" s="54"/>
      <c r="F58" s="51"/>
      <c r="G58" s="44">
        <f>1627.82+400+700+1800*2</f>
        <v>6327.82</v>
      </c>
      <c r="H58" s="11"/>
      <c r="I58" s="11"/>
    </row>
    <row r="59" spans="2:9" ht="12.75">
      <c r="B59" s="33"/>
      <c r="C59" s="11"/>
      <c r="D59" s="11"/>
      <c r="E59" s="54"/>
      <c r="F59" s="51"/>
      <c r="G59" s="52"/>
      <c r="H59" s="11"/>
      <c r="I59" s="11"/>
    </row>
    <row r="60" spans="2:9" ht="15.75">
      <c r="B60" s="55" t="s">
        <v>46</v>
      </c>
      <c r="C60" s="62"/>
      <c r="D60" s="62"/>
      <c r="E60" s="62"/>
      <c r="F60" s="56">
        <f>G47+G52+G58</f>
        <v>69950.82</v>
      </c>
      <c r="G60" s="56" t="s">
        <v>47</v>
      </c>
      <c r="H60" s="62"/>
      <c r="I60" s="62"/>
    </row>
    <row r="61" spans="2:9" ht="12.75">
      <c r="B61" s="57" t="s">
        <v>48</v>
      </c>
      <c r="C61" s="62"/>
      <c r="D61" s="62"/>
      <c r="E61" s="62"/>
      <c r="F61" s="47"/>
      <c r="G61" s="62"/>
      <c r="H61" s="62"/>
      <c r="I61" s="62"/>
    </row>
    <row r="62" spans="2:9" ht="12.75">
      <c r="B62" s="57" t="s">
        <v>49</v>
      </c>
      <c r="C62" s="62"/>
      <c r="D62" s="62"/>
      <c r="E62" s="62"/>
      <c r="F62" s="47"/>
      <c r="G62" s="62"/>
      <c r="H62" s="62"/>
      <c r="I62" s="62"/>
    </row>
    <row r="63" spans="2:9" ht="12.75">
      <c r="B63" s="57"/>
      <c r="C63" s="62"/>
      <c r="D63" s="62"/>
      <c r="E63" s="62"/>
      <c r="F63" s="47"/>
      <c r="G63" s="62"/>
      <c r="H63" s="62"/>
      <c r="I63" s="62"/>
    </row>
    <row r="64" spans="2:9" ht="15.75">
      <c r="B64" s="55" t="s">
        <v>50</v>
      </c>
      <c r="C64" s="11"/>
      <c r="D64" s="11"/>
      <c r="E64" s="11"/>
      <c r="F64" s="56">
        <f>-94127.37-128425.11</f>
        <v>-222552.47999999998</v>
      </c>
      <c r="G64" s="56" t="s">
        <v>47</v>
      </c>
      <c r="H64" s="11"/>
      <c r="I64" s="11"/>
    </row>
    <row r="65" spans="2:9" ht="12.75">
      <c r="B65" s="57" t="s">
        <v>51</v>
      </c>
      <c r="C65" s="11"/>
      <c r="D65" s="11"/>
      <c r="E65" s="11"/>
      <c r="F65" s="47"/>
      <c r="G65" s="11"/>
      <c r="H65" s="11"/>
      <c r="I65" s="11"/>
    </row>
    <row r="66" spans="2:9" ht="12.75">
      <c r="B66" s="57" t="s">
        <v>52</v>
      </c>
      <c r="C66" s="11"/>
      <c r="D66" s="11"/>
      <c r="E66" s="11"/>
      <c r="F66" s="47"/>
      <c r="G66" s="11"/>
      <c r="H66" s="11"/>
      <c r="I66" s="11"/>
    </row>
    <row r="67" spans="2:9" ht="12.75">
      <c r="B67" s="57"/>
      <c r="C67" s="62"/>
      <c r="D67" s="62"/>
      <c r="E67" s="62"/>
      <c r="F67" s="47"/>
      <c r="G67" s="62"/>
      <c r="H67" s="62"/>
      <c r="I67" s="62"/>
    </row>
    <row r="68" spans="1:9" ht="15.75">
      <c r="A68" s="11"/>
      <c r="B68" s="58" t="s">
        <v>63</v>
      </c>
      <c r="C68" s="58"/>
      <c r="D68" s="58"/>
      <c r="E68" s="11"/>
      <c r="F68" s="56">
        <f>F60+F64</f>
        <v>-152601.65999999997</v>
      </c>
      <c r="G68" s="56" t="s">
        <v>47</v>
      </c>
      <c r="H68" s="11"/>
      <c r="I68" s="11"/>
    </row>
    <row r="69" spans="1:9" s="33" customFormat="1" ht="12.75">
      <c r="A69" s="11"/>
      <c r="B69" s="38" t="s">
        <v>48</v>
      </c>
      <c r="C69" s="38"/>
      <c r="D69" s="11"/>
      <c r="E69" s="11"/>
      <c r="F69" s="47"/>
      <c r="G69" s="11"/>
      <c r="H69" s="11"/>
      <c r="I69" s="11"/>
    </row>
    <row r="70" spans="1:9" ht="12.75">
      <c r="A70" s="11"/>
      <c r="B70" s="38" t="s">
        <v>49</v>
      </c>
      <c r="C70" s="11"/>
      <c r="D70" s="11"/>
      <c r="E70" s="11"/>
      <c r="F70" s="47"/>
      <c r="G70" s="11"/>
      <c r="H70" s="11"/>
      <c r="I70" s="11"/>
    </row>
    <row r="71" spans="2:6" ht="15">
      <c r="B71" s="60"/>
      <c r="C71" s="61"/>
      <c r="D71" s="61"/>
      <c r="E71" s="61"/>
      <c r="F71" s="61"/>
    </row>
    <row r="72" spans="2:9" ht="12.75">
      <c r="B72" s="33"/>
      <c r="C72" s="62"/>
      <c r="D72" s="62"/>
      <c r="E72" s="62"/>
      <c r="F72" s="62"/>
      <c r="G72" s="62"/>
      <c r="H72" s="62"/>
      <c r="I72" s="62"/>
    </row>
    <row r="73" spans="1:9" ht="12.75">
      <c r="A73" s="33"/>
      <c r="B73" s="33"/>
      <c r="C73" s="59" t="s">
        <v>54</v>
      </c>
      <c r="D73" s="33"/>
      <c r="E73" s="33"/>
      <c r="F73" s="33"/>
      <c r="G73" s="33"/>
      <c r="H73" s="33"/>
      <c r="I73" s="33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2:9" ht="12.75">
      <c r="B75" s="33"/>
      <c r="C75" s="62"/>
      <c r="D75" s="62"/>
      <c r="E75" s="62"/>
      <c r="F75" s="62"/>
      <c r="G75" s="62"/>
      <c r="H75" s="62"/>
      <c r="I75" s="62"/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="33" customFormat="1" ht="12.75">
      <c r="A77" s="51"/>
    </row>
    <row r="78" spans="2:9" ht="12.75">
      <c r="B78" s="33"/>
      <c r="C78" s="62"/>
      <c r="D78" s="62"/>
      <c r="E78" s="62"/>
      <c r="F78" s="62"/>
      <c r="G78" s="62"/>
      <c r="H78" s="62"/>
      <c r="I78" s="62"/>
    </row>
    <row r="79" spans="2:6" ht="15">
      <c r="B79" s="60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  <row r="85" spans="2:6" ht="14.25">
      <c r="B85" s="61"/>
      <c r="C85" s="61"/>
      <c r="D85" s="61"/>
      <c r="E85" s="61"/>
      <c r="F85" s="61"/>
    </row>
    <row r="86" spans="2:6" ht="14.25">
      <c r="B86" s="61"/>
      <c r="C86" s="61"/>
      <c r="D86" s="61"/>
      <c r="E86" s="61"/>
      <c r="F86" s="6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3:G13"/>
    <mergeCell ref="B34:B35"/>
    <mergeCell ref="C34:C35"/>
    <mergeCell ref="D34:D35"/>
    <mergeCell ref="E34:E35"/>
    <mergeCell ref="F34:F35"/>
    <mergeCell ref="G34:G35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46">
      <selection activeCell="G57" sqref="G57"/>
    </sheetView>
  </sheetViews>
  <sheetFormatPr defaultColWidth="9.140625" defaultRowHeight="15"/>
  <cols>
    <col min="1" max="1" width="1.1484375" style="1" customWidth="1"/>
    <col min="2" max="2" width="26.140625" style="4" customWidth="1"/>
    <col min="3" max="3" width="14.140625" style="4" customWidth="1"/>
    <col min="4" max="4" width="16.7109375" style="4" customWidth="1"/>
    <col min="5" max="5" width="14.28125" style="4" customWidth="1"/>
    <col min="6" max="6" width="14.7109375" style="4" customWidth="1"/>
    <col min="7" max="7" width="13.8515625" style="4" customWidth="1"/>
    <col min="8" max="8" width="10.140625" style="4" bestFit="1" customWidth="1"/>
    <col min="9" max="16384" width="9.140625" style="4" customWidth="1"/>
  </cols>
  <sheetData>
    <row r="1" spans="2:6" ht="18.75">
      <c r="B1" s="2" t="s">
        <v>0</v>
      </c>
      <c r="C1" s="3"/>
      <c r="D1" s="3"/>
      <c r="E1" s="3"/>
      <c r="F1" s="3"/>
    </row>
    <row r="2" spans="1:6" ht="18.75">
      <c r="A2" s="5"/>
      <c r="B2" s="3"/>
      <c r="D2" s="6" t="s">
        <v>75</v>
      </c>
      <c r="E2" s="3"/>
      <c r="F2" s="3"/>
    </row>
    <row r="3" spans="2:6" ht="18.75">
      <c r="B3" s="3"/>
      <c r="D3" s="7" t="s">
        <v>76</v>
      </c>
      <c r="E3" s="3"/>
      <c r="F3" s="3"/>
    </row>
    <row r="4" spans="2:6" ht="15.75">
      <c r="B4" s="8"/>
      <c r="C4" s="9"/>
      <c r="D4" s="9"/>
      <c r="E4" s="9"/>
      <c r="F4" s="9"/>
    </row>
    <row r="5" spans="2:9" ht="13.5" thickBot="1">
      <c r="B5" s="10" t="s">
        <v>3</v>
      </c>
      <c r="C5" s="62"/>
      <c r="D5" s="62"/>
      <c r="E5" s="62"/>
      <c r="F5" s="62"/>
      <c r="G5" s="62"/>
      <c r="H5" s="62"/>
      <c r="I5" s="62"/>
    </row>
    <row r="6" spans="2:9" ht="103.5" customHeight="1" thickBot="1">
      <c r="B6" s="12" t="s">
        <v>4</v>
      </c>
      <c r="C6" s="12" t="s">
        <v>5</v>
      </c>
      <c r="D6" s="13" t="s">
        <v>6</v>
      </c>
      <c r="E6" s="13" t="s">
        <v>7</v>
      </c>
      <c r="F6" s="12" t="s">
        <v>8</v>
      </c>
      <c r="G6" s="12" t="s">
        <v>9</v>
      </c>
      <c r="H6" s="62"/>
      <c r="I6" s="62"/>
    </row>
    <row r="7" spans="2:9" ht="16.5" customHeight="1" thickBot="1">
      <c r="B7" s="14">
        <v>1</v>
      </c>
      <c r="C7" s="15">
        <v>2</v>
      </c>
      <c r="D7" s="15">
        <v>3</v>
      </c>
      <c r="E7" s="15" t="s">
        <v>10</v>
      </c>
      <c r="F7" s="15">
        <v>5</v>
      </c>
      <c r="G7" s="16" t="s">
        <v>11</v>
      </c>
      <c r="H7" s="62"/>
      <c r="I7" s="62"/>
    </row>
    <row r="8" spans="2:9" ht="13.5" thickBot="1">
      <c r="B8" s="17" t="s">
        <v>12</v>
      </c>
      <c r="C8" s="18"/>
      <c r="D8" s="18"/>
      <c r="E8" s="18"/>
      <c r="F8" s="18"/>
      <c r="G8" s="19"/>
      <c r="H8" s="62"/>
      <c r="I8" s="62"/>
    </row>
    <row r="9" spans="2:9" ht="38.25" customHeight="1">
      <c r="B9" s="20" t="s">
        <v>13</v>
      </c>
      <c r="C9" s="21">
        <f>'[6]Sheet1'!$N$15</f>
        <v>80472</v>
      </c>
      <c r="D9" s="21">
        <f>'[6]Sheet1'!$R$15</f>
        <v>82600</v>
      </c>
      <c r="E9" s="21">
        <f>D9-C9</f>
        <v>2128</v>
      </c>
      <c r="F9" s="21">
        <f>'[6]Sheet1'!$T$15</f>
        <v>80472</v>
      </c>
      <c r="G9" s="66">
        <f>C9-F9</f>
        <v>0</v>
      </c>
      <c r="H9" s="62"/>
      <c r="I9" s="63"/>
    </row>
    <row r="10" spans="2:9" ht="26.25" customHeight="1">
      <c r="B10" s="20" t="s">
        <v>14</v>
      </c>
      <c r="C10" s="23"/>
      <c r="D10" s="23"/>
      <c r="E10" s="23"/>
      <c r="F10" s="23"/>
      <c r="G10" s="67"/>
      <c r="H10" s="62"/>
      <c r="I10" s="62"/>
    </row>
    <row r="11" spans="2:9" ht="39" customHeight="1" thickBot="1">
      <c r="B11" s="24" t="s">
        <v>15</v>
      </c>
      <c r="C11" s="25"/>
      <c r="D11" s="25"/>
      <c r="E11" s="25"/>
      <c r="F11" s="25"/>
      <c r="G11" s="68"/>
      <c r="H11" s="62"/>
      <c r="I11" s="62"/>
    </row>
    <row r="12" spans="2:9" ht="13.5" thickBot="1">
      <c r="B12" s="26" t="s">
        <v>16</v>
      </c>
      <c r="C12" s="27">
        <f>C9</f>
        <v>80472</v>
      </c>
      <c r="D12" s="27">
        <f>D9</f>
        <v>82600</v>
      </c>
      <c r="E12" s="27">
        <f>E9</f>
        <v>2128</v>
      </c>
      <c r="F12" s="27">
        <f>F9</f>
        <v>80472</v>
      </c>
      <c r="G12" s="27">
        <f>G9</f>
        <v>0</v>
      </c>
      <c r="H12" s="62"/>
      <c r="I12" s="62"/>
    </row>
    <row r="13" spans="2:9" ht="18.75" customHeight="1" thickBot="1">
      <c r="B13" s="28" t="s">
        <v>17</v>
      </c>
      <c r="C13" s="29"/>
      <c r="D13" s="29"/>
      <c r="E13" s="29"/>
      <c r="F13" s="29"/>
      <c r="G13" s="30"/>
      <c r="H13" s="62"/>
      <c r="I13" s="62"/>
    </row>
    <row r="14" spans="2:9" ht="27" customHeight="1" thickBot="1">
      <c r="B14" s="24" t="s">
        <v>68</v>
      </c>
      <c r="C14" s="31">
        <f>'[6]Sheet1'!$N$17</f>
        <v>42041</v>
      </c>
      <c r="D14" s="31">
        <f>'[6]Sheet1'!$R$17</f>
        <v>43153</v>
      </c>
      <c r="E14" s="31">
        <f>D14-C14</f>
        <v>1112</v>
      </c>
      <c r="F14" s="31">
        <f>C14</f>
        <v>42041</v>
      </c>
      <c r="G14" s="31">
        <f>C14-F14</f>
        <v>0</v>
      </c>
      <c r="H14" s="62"/>
      <c r="I14" s="62"/>
    </row>
    <row r="15" spans="2:9" ht="27" customHeight="1" thickBot="1">
      <c r="B15" s="24" t="s">
        <v>18</v>
      </c>
      <c r="C15" s="31">
        <f>'[6]Sheet1'!$N$18</f>
        <v>24576</v>
      </c>
      <c r="D15" s="31">
        <f>'[6]Sheet1'!$R$18</f>
        <v>25226</v>
      </c>
      <c r="E15" s="31">
        <f aca="true" t="shared" si="0" ref="E15:E21">D15-C15</f>
        <v>650</v>
      </c>
      <c r="F15" s="31">
        <f>'[6]Sheet1'!$T$18</f>
        <v>24576</v>
      </c>
      <c r="G15" s="31">
        <f aca="true" t="shared" si="1" ref="G15:G21">C15-F15</f>
        <v>0</v>
      </c>
      <c r="H15" s="62"/>
      <c r="I15" s="62"/>
    </row>
    <row r="16" spans="2:9" ht="19.5" customHeight="1" thickBot="1">
      <c r="B16" s="24" t="s">
        <v>19</v>
      </c>
      <c r="C16" s="31">
        <f>'[6]Sheet1'!$N$19</f>
        <v>1623</v>
      </c>
      <c r="D16" s="31">
        <f>'[6]Sheet1'!$R$19</f>
        <v>1666</v>
      </c>
      <c r="E16" s="31">
        <f t="shared" si="0"/>
        <v>43</v>
      </c>
      <c r="F16" s="31">
        <f>'[6]Sheet1'!$T$19</f>
        <v>1623</v>
      </c>
      <c r="G16" s="31">
        <f t="shared" si="1"/>
        <v>0</v>
      </c>
      <c r="H16" s="62"/>
      <c r="I16" s="62"/>
    </row>
    <row r="17" spans="2:9" ht="21" customHeight="1" thickBot="1">
      <c r="B17" s="24" t="s">
        <v>20</v>
      </c>
      <c r="C17" s="31">
        <f>'[6]Sheet1'!$N$20</f>
        <v>6955</v>
      </c>
      <c r="D17" s="31">
        <f>'[6]Sheet1'!$R$20</f>
        <v>7139</v>
      </c>
      <c r="E17" s="31">
        <f t="shared" si="0"/>
        <v>184</v>
      </c>
      <c r="F17" s="31">
        <f>'[6]Sheet1'!$T$20</f>
        <v>6955</v>
      </c>
      <c r="G17" s="31">
        <f t="shared" si="1"/>
        <v>0</v>
      </c>
      <c r="H17" s="62"/>
      <c r="I17" s="62"/>
    </row>
    <row r="18" spans="2:9" ht="17.25" customHeight="1" thickBot="1">
      <c r="B18" s="24" t="s">
        <v>56</v>
      </c>
      <c r="C18" s="31">
        <f>'[6]Sheet1'!$N$25</f>
        <v>126020</v>
      </c>
      <c r="D18" s="31">
        <f>'[6]Sheet1'!$R$25</f>
        <v>129353</v>
      </c>
      <c r="E18" s="31">
        <f t="shared" si="0"/>
        <v>3333</v>
      </c>
      <c r="F18" s="31">
        <f>C18</f>
        <v>126020</v>
      </c>
      <c r="G18" s="31">
        <f t="shared" si="1"/>
        <v>0</v>
      </c>
      <c r="H18" s="62"/>
      <c r="I18" s="62"/>
    </row>
    <row r="19" spans="2:9" ht="17.25" customHeight="1" thickBot="1">
      <c r="B19" s="24" t="s">
        <v>57</v>
      </c>
      <c r="C19" s="31">
        <f>'[6]Sheet1'!$N$24</f>
        <v>32459</v>
      </c>
      <c r="D19" s="31">
        <f>'[6]Sheet1'!$R$24</f>
        <v>33317</v>
      </c>
      <c r="E19" s="31">
        <f t="shared" si="0"/>
        <v>858</v>
      </c>
      <c r="F19" s="31">
        <f>C19</f>
        <v>32459</v>
      </c>
      <c r="G19" s="31">
        <f t="shared" si="1"/>
        <v>0</v>
      </c>
      <c r="H19" s="62"/>
      <c r="I19" s="62"/>
    </row>
    <row r="20" spans="2:9" ht="25.5" customHeight="1" thickBot="1">
      <c r="B20" s="24" t="s">
        <v>21</v>
      </c>
      <c r="C20" s="31">
        <f>'[6]Sheet1'!$N$26</f>
        <v>65614</v>
      </c>
      <c r="D20" s="31">
        <f>'[6]Sheet1'!$R$26</f>
        <v>67349</v>
      </c>
      <c r="E20" s="31">
        <f t="shared" si="0"/>
        <v>1735</v>
      </c>
      <c r="F20" s="31">
        <f>'[6]Sheet1'!$T$26</f>
        <v>65614</v>
      </c>
      <c r="G20" s="31">
        <f t="shared" si="1"/>
        <v>0</v>
      </c>
      <c r="H20" s="62"/>
      <c r="I20" s="62"/>
    </row>
    <row r="21" spans="2:9" ht="25.5" customHeight="1" thickBot="1">
      <c r="B21" s="24" t="s">
        <v>22</v>
      </c>
      <c r="C21" s="31">
        <f>'[6]Sheet1'!$N$41+'[6]Sheet1'!$N$42</f>
        <v>7651</v>
      </c>
      <c r="D21" s="31">
        <f>'[6]Sheet1'!$R$41+'[6]Sheet1'!$R$42</f>
        <v>7854</v>
      </c>
      <c r="E21" s="31">
        <f t="shared" si="0"/>
        <v>203</v>
      </c>
      <c r="F21" s="31">
        <f>'[6]Sheet1'!$T$41+'[6]Sheet1'!$T$42</f>
        <v>7651</v>
      </c>
      <c r="G21" s="31">
        <f t="shared" si="1"/>
        <v>0</v>
      </c>
      <c r="H21" s="62"/>
      <c r="I21" s="62"/>
    </row>
    <row r="22" spans="2:9" ht="13.5" thickBot="1">
      <c r="B22" s="26" t="s">
        <v>16</v>
      </c>
      <c r="C22" s="27">
        <f>SUM(C14:C21)</f>
        <v>306939</v>
      </c>
      <c r="D22" s="27">
        <f>SUM(D14:D21)</f>
        <v>315057</v>
      </c>
      <c r="E22" s="27">
        <f>SUM(E14:E21)</f>
        <v>8118</v>
      </c>
      <c r="F22" s="27">
        <f>SUM(F14:F21)</f>
        <v>306939</v>
      </c>
      <c r="G22" s="27">
        <f>SUM(G14:G21)</f>
        <v>0</v>
      </c>
      <c r="H22" s="62"/>
      <c r="I22" s="62"/>
    </row>
    <row r="23" spans="2:9" ht="13.5" thickBot="1">
      <c r="B23" s="32" t="s">
        <v>23</v>
      </c>
      <c r="C23" s="27">
        <f>C12+C22</f>
        <v>387411</v>
      </c>
      <c r="D23" s="27">
        <f>D12+D22</f>
        <v>397657</v>
      </c>
      <c r="E23" s="27">
        <f>E12+E22</f>
        <v>10246</v>
      </c>
      <c r="F23" s="27">
        <f>F12+F22</f>
        <v>387411</v>
      </c>
      <c r="G23" s="27">
        <f>G12+G22</f>
        <v>0</v>
      </c>
      <c r="H23" s="62"/>
      <c r="I23" s="62"/>
    </row>
    <row r="24" spans="2:9" ht="12.75">
      <c r="B24" s="33"/>
      <c r="C24" s="62"/>
      <c r="D24" s="62"/>
      <c r="E24" s="62"/>
      <c r="F24" s="62"/>
      <c r="G24" s="62"/>
      <c r="H24" s="62"/>
      <c r="I24" s="62"/>
    </row>
    <row r="25" spans="2:9" ht="13.5" thickBot="1">
      <c r="B25" s="10" t="s">
        <v>24</v>
      </c>
      <c r="C25" s="62"/>
      <c r="D25" s="62"/>
      <c r="E25" s="62"/>
      <c r="F25" s="62"/>
      <c r="G25" s="62"/>
      <c r="H25" s="62"/>
      <c r="I25" s="62"/>
    </row>
    <row r="26" spans="2:9" ht="105" customHeight="1" thickBot="1">
      <c r="B26" s="34" t="s">
        <v>4</v>
      </c>
      <c r="C26" s="34" t="s">
        <v>5</v>
      </c>
      <c r="D26" s="35" t="s">
        <v>25</v>
      </c>
      <c r="E26" s="35" t="s">
        <v>7</v>
      </c>
      <c r="F26" s="34" t="s">
        <v>26</v>
      </c>
      <c r="G26" s="34" t="s">
        <v>9</v>
      </c>
      <c r="H26" s="62"/>
      <c r="I26" s="62"/>
    </row>
    <row r="27" spans="2:9" ht="13.5" customHeight="1" thickBot="1">
      <c r="B27" s="14">
        <v>1</v>
      </c>
      <c r="C27" s="15">
        <v>2</v>
      </c>
      <c r="D27" s="15">
        <v>3</v>
      </c>
      <c r="E27" s="15" t="s">
        <v>10</v>
      </c>
      <c r="F27" s="15">
        <v>5</v>
      </c>
      <c r="G27" s="16" t="s">
        <v>11</v>
      </c>
      <c r="H27" s="62"/>
      <c r="I27" s="62"/>
    </row>
    <row r="28" spans="2:9" ht="38.25" customHeight="1" thickBot="1">
      <c r="B28" s="24" t="s">
        <v>27</v>
      </c>
      <c r="C28" s="36">
        <f>'[6]Sheet1'!$N$12</f>
        <v>150788</v>
      </c>
      <c r="D28" s="36">
        <f>'[6]Sheet1'!$R$12</f>
        <v>154775</v>
      </c>
      <c r="E28" s="36">
        <f>D28-C28</f>
        <v>3987</v>
      </c>
      <c r="F28" s="36">
        <v>32074</v>
      </c>
      <c r="G28" s="36">
        <f>C28-F28</f>
        <v>118714</v>
      </c>
      <c r="H28" s="63"/>
      <c r="I28" s="62"/>
    </row>
    <row r="29" spans="2:9" ht="13.5" thickBot="1">
      <c r="B29" s="26" t="s">
        <v>28</v>
      </c>
      <c r="C29" s="37">
        <f>C28</f>
        <v>150788</v>
      </c>
      <c r="D29" s="37">
        <f>D28</f>
        <v>154775</v>
      </c>
      <c r="E29" s="37">
        <f>E28</f>
        <v>3987</v>
      </c>
      <c r="F29" s="37">
        <f>F28</f>
        <v>32074</v>
      </c>
      <c r="G29" s="37">
        <f>G28</f>
        <v>118714</v>
      </c>
      <c r="H29" s="62"/>
      <c r="I29" s="62"/>
    </row>
    <row r="30" spans="2:9" ht="12.75">
      <c r="B30" s="38"/>
      <c r="C30" s="62"/>
      <c r="D30" s="62"/>
      <c r="E30" s="62"/>
      <c r="F30" s="62"/>
      <c r="G30" s="62"/>
      <c r="H30" s="62"/>
      <c r="I30" s="62"/>
    </row>
    <row r="31" spans="2:9" ht="13.5" thickBot="1">
      <c r="B31" s="10" t="s">
        <v>29</v>
      </c>
      <c r="C31" s="62"/>
      <c r="D31" s="62"/>
      <c r="E31" s="62"/>
      <c r="F31" s="62"/>
      <c r="G31" s="62"/>
      <c r="H31" s="62"/>
      <c r="I31" s="62"/>
    </row>
    <row r="32" spans="2:9" ht="103.5" customHeight="1" thickBot="1">
      <c r="B32" s="34" t="s">
        <v>4</v>
      </c>
      <c r="C32" s="13" t="s">
        <v>30</v>
      </c>
      <c r="D32" s="39" t="s">
        <v>77</v>
      </c>
      <c r="E32" s="35" t="s">
        <v>7</v>
      </c>
      <c r="F32" s="13" t="s">
        <v>32</v>
      </c>
      <c r="G32" s="34" t="s">
        <v>9</v>
      </c>
      <c r="H32" s="62"/>
      <c r="I32" s="62"/>
    </row>
    <row r="33" spans="2:9" ht="13.5" customHeight="1" thickBot="1">
      <c r="B33" s="14">
        <v>1</v>
      </c>
      <c r="C33" s="15">
        <v>2</v>
      </c>
      <c r="D33" s="15">
        <v>3</v>
      </c>
      <c r="E33" s="15" t="s">
        <v>10</v>
      </c>
      <c r="F33" s="15">
        <v>5</v>
      </c>
      <c r="G33" s="16" t="s">
        <v>11</v>
      </c>
      <c r="H33" s="62"/>
      <c r="I33" s="62"/>
    </row>
    <row r="34" spans="2:9" ht="16.5" customHeight="1">
      <c r="B34" s="40" t="s">
        <v>73</v>
      </c>
      <c r="C34" s="21">
        <f>'[6]Sheet1'!$N$33</f>
        <v>143655</v>
      </c>
      <c r="D34" s="21">
        <f>'[6]Sheet1'!$R$33</f>
        <v>147454</v>
      </c>
      <c r="E34" s="21">
        <f>D34-C34</f>
        <v>3799</v>
      </c>
      <c r="F34" s="21">
        <f>C34</f>
        <v>143655</v>
      </c>
      <c r="G34" s="21">
        <f>C34-F34</f>
        <v>0</v>
      </c>
      <c r="H34" s="62"/>
      <c r="I34" s="62"/>
    </row>
    <row r="35" spans="2:9" ht="24" customHeight="1" thickBot="1">
      <c r="B35" s="41"/>
      <c r="C35" s="42"/>
      <c r="D35" s="42"/>
      <c r="E35" s="42"/>
      <c r="F35" s="42"/>
      <c r="G35" s="42"/>
      <c r="H35" s="62"/>
      <c r="I35" s="62"/>
    </row>
    <row r="36" spans="2:9" ht="17.25" customHeight="1">
      <c r="B36" s="40" t="s">
        <v>34</v>
      </c>
      <c r="C36" s="21">
        <f>'[6]Sheet1'!$N$36</f>
        <v>699831</v>
      </c>
      <c r="D36" s="21">
        <f>588599.47+107825</f>
        <v>696424.47</v>
      </c>
      <c r="E36" s="21">
        <f>D36-C36</f>
        <v>-3406.530000000028</v>
      </c>
      <c r="F36" s="21">
        <f>'[6]Sheet1'!$T$36</f>
        <v>994121</v>
      </c>
      <c r="G36" s="21">
        <f>C36-F36</f>
        <v>-294290</v>
      </c>
      <c r="H36" s="62"/>
      <c r="I36" s="62"/>
    </row>
    <row r="37" spans="2:9" ht="13.5" thickBot="1">
      <c r="B37" s="41"/>
      <c r="C37" s="42"/>
      <c r="D37" s="42"/>
      <c r="E37" s="42"/>
      <c r="F37" s="42"/>
      <c r="G37" s="42"/>
      <c r="H37" s="62"/>
      <c r="I37" s="62"/>
    </row>
    <row r="38" spans="2:9" ht="13.5" thickBot="1">
      <c r="B38" s="32" t="s">
        <v>35</v>
      </c>
      <c r="C38" s="37">
        <f>C34+C36</f>
        <v>843486</v>
      </c>
      <c r="D38" s="37">
        <f>D34+D36</f>
        <v>843878.47</v>
      </c>
      <c r="E38" s="37">
        <f>E34+E36</f>
        <v>392.46999999997206</v>
      </c>
      <c r="F38" s="37">
        <f>F34+F36</f>
        <v>1137776</v>
      </c>
      <c r="G38" s="37">
        <f>G34+G36</f>
        <v>-294290</v>
      </c>
      <c r="H38" s="62"/>
      <c r="I38" s="62"/>
    </row>
    <row r="39" spans="2:9" ht="12.75">
      <c r="B39" s="33"/>
      <c r="C39" s="62"/>
      <c r="D39" s="62"/>
      <c r="E39" s="62"/>
      <c r="F39" s="62"/>
      <c r="G39" s="62"/>
      <c r="H39" s="62"/>
      <c r="I39" s="62"/>
    </row>
    <row r="40" spans="2:9" ht="12.75">
      <c r="B40" s="33"/>
      <c r="C40" s="62"/>
      <c r="D40" s="62"/>
      <c r="E40" s="62"/>
      <c r="F40" s="62"/>
      <c r="G40" s="62"/>
      <c r="H40" s="62"/>
      <c r="I40" s="62"/>
    </row>
    <row r="41" spans="2:9" ht="12.75">
      <c r="B41" s="43" t="s">
        <v>36</v>
      </c>
      <c r="C41" s="62"/>
      <c r="D41" s="62"/>
      <c r="E41" s="62"/>
      <c r="F41" s="62"/>
      <c r="G41" s="44">
        <f>F43+F44</f>
        <v>14625.469999999972</v>
      </c>
      <c r="H41" s="62"/>
      <c r="I41" s="62"/>
    </row>
    <row r="42" spans="2:9" ht="12.75">
      <c r="B42" s="45" t="s">
        <v>37</v>
      </c>
      <c r="C42" s="63"/>
      <c r="D42" s="62"/>
      <c r="E42" s="62"/>
      <c r="F42" s="62"/>
      <c r="G42" s="62"/>
      <c r="H42" s="62"/>
      <c r="I42" s="62"/>
    </row>
    <row r="43" spans="2:9" ht="12.75">
      <c r="B43" s="46" t="s">
        <v>65</v>
      </c>
      <c r="C43" s="62"/>
      <c r="D43" s="62"/>
      <c r="E43" s="62"/>
      <c r="F43" s="47">
        <f>(E23+E29)</f>
        <v>14233</v>
      </c>
      <c r="G43" s="62"/>
      <c r="H43" s="62"/>
      <c r="I43" s="62"/>
    </row>
    <row r="44" spans="2:9" ht="12.75">
      <c r="B44" s="46" t="s">
        <v>59</v>
      </c>
      <c r="C44" s="62"/>
      <c r="D44" s="62"/>
      <c r="E44" s="62"/>
      <c r="F44" s="47">
        <f>(E38)</f>
        <v>392.46999999997206</v>
      </c>
      <c r="G44" s="62"/>
      <c r="H44" s="62"/>
      <c r="I44" s="62"/>
    </row>
    <row r="45" spans="2:9" ht="12.75">
      <c r="B45" s="46"/>
      <c r="C45" s="62"/>
      <c r="D45" s="62"/>
      <c r="E45" s="62"/>
      <c r="F45" s="47"/>
      <c r="G45" s="62"/>
      <c r="H45" s="62"/>
      <c r="I45" s="62"/>
    </row>
    <row r="46" spans="2:9" s="1" customFormat="1" ht="12.75">
      <c r="B46" s="48" t="s">
        <v>40</v>
      </c>
      <c r="C46" s="64"/>
      <c r="D46" s="64"/>
      <c r="E46" s="65"/>
      <c r="F46" s="51"/>
      <c r="G46" s="44">
        <f>F48+F49</f>
        <v>-294290</v>
      </c>
      <c r="H46" s="64"/>
      <c r="I46" s="64"/>
    </row>
    <row r="47" spans="2:9" s="1" customFormat="1" ht="12.75">
      <c r="B47" s="45" t="s">
        <v>37</v>
      </c>
      <c r="C47" s="64"/>
      <c r="D47" s="64"/>
      <c r="E47" s="65"/>
      <c r="F47" s="51"/>
      <c r="G47" s="52"/>
      <c r="H47" s="64"/>
      <c r="I47" s="64"/>
    </row>
    <row r="48" spans="2:9" s="1" customFormat="1" ht="12.75">
      <c r="B48" s="46" t="s">
        <v>41</v>
      </c>
      <c r="C48" s="64"/>
      <c r="D48" s="64"/>
      <c r="E48" s="65"/>
      <c r="F48" s="47">
        <f>IF((G23+G29)&lt;=0,G23+G29,0)</f>
        <v>0</v>
      </c>
      <c r="G48" s="52"/>
      <c r="H48" s="64"/>
      <c r="I48" s="64"/>
    </row>
    <row r="49" spans="2:9" s="1" customFormat="1" ht="12.75">
      <c r="B49" s="46" t="s">
        <v>42</v>
      </c>
      <c r="C49" s="64"/>
      <c r="D49" s="64"/>
      <c r="E49" s="65"/>
      <c r="F49" s="47">
        <f>IF(G38&lt;=0,G38,0)</f>
        <v>-294290</v>
      </c>
      <c r="G49" s="52"/>
      <c r="H49" s="64"/>
      <c r="I49" s="64"/>
    </row>
    <row r="50" spans="2:9" s="1" customFormat="1" ht="12.75">
      <c r="B50" s="46"/>
      <c r="C50" s="64"/>
      <c r="D50" s="64"/>
      <c r="E50" s="65"/>
      <c r="F50" s="51"/>
      <c r="G50" s="52"/>
      <c r="H50" s="64"/>
      <c r="I50" s="64"/>
    </row>
    <row r="51" spans="2:9" s="1" customFormat="1" ht="12.75">
      <c r="B51" s="48" t="s">
        <v>60</v>
      </c>
      <c r="C51" s="64"/>
      <c r="D51" s="64"/>
      <c r="E51" s="65"/>
      <c r="F51" s="51"/>
      <c r="G51" s="44">
        <f>F53+F54</f>
        <v>118714</v>
      </c>
      <c r="H51" s="64"/>
      <c r="I51" s="64"/>
    </row>
    <row r="52" spans="2:9" ht="12.75">
      <c r="B52" s="45" t="s">
        <v>37</v>
      </c>
      <c r="C52" s="62"/>
      <c r="D52" s="62"/>
      <c r="E52" s="62"/>
      <c r="F52" s="33"/>
      <c r="G52" s="52"/>
      <c r="H52" s="62"/>
      <c r="I52" s="62"/>
    </row>
    <row r="53" spans="2:9" ht="12.75">
      <c r="B53" s="46" t="s">
        <v>41</v>
      </c>
      <c r="C53" s="62"/>
      <c r="D53" s="62"/>
      <c r="E53" s="62"/>
      <c r="F53" s="47">
        <f>IF((G23+G29)&gt;0,G23+G29,0)</f>
        <v>118714</v>
      </c>
      <c r="G53" s="62"/>
      <c r="H53" s="62"/>
      <c r="I53" s="62"/>
    </row>
    <row r="54" spans="2:9" ht="12.75">
      <c r="B54" s="46" t="s">
        <v>42</v>
      </c>
      <c r="C54" s="62"/>
      <c r="D54" s="62"/>
      <c r="E54" s="62"/>
      <c r="F54" s="47">
        <f>IF(G38&gt;0,G38,0)</f>
        <v>0</v>
      </c>
      <c r="G54" s="62"/>
      <c r="H54" s="62"/>
      <c r="I54" s="62"/>
    </row>
    <row r="55" spans="2:9" ht="12.75">
      <c r="B55" s="46"/>
      <c r="C55" s="62"/>
      <c r="D55" s="62"/>
      <c r="E55" s="62"/>
      <c r="F55" s="47"/>
      <c r="G55" s="62"/>
      <c r="H55" s="62"/>
      <c r="I55" s="62"/>
    </row>
    <row r="56" spans="2:9" ht="12.75">
      <c r="B56" s="53" t="s">
        <v>44</v>
      </c>
      <c r="C56" s="11"/>
      <c r="D56" s="11"/>
      <c r="E56" s="11"/>
      <c r="F56" s="33"/>
      <c r="G56" s="11"/>
      <c r="H56" s="11"/>
      <c r="I56" s="11"/>
    </row>
    <row r="57" spans="2:9" ht="12.75">
      <c r="B57" s="33" t="s">
        <v>45</v>
      </c>
      <c r="C57" s="11"/>
      <c r="D57" s="11"/>
      <c r="E57" s="54"/>
      <c r="F57" s="51"/>
      <c r="G57" s="70">
        <f>1627.82+400+700+1180*6+11800*2</f>
        <v>33407.82</v>
      </c>
      <c r="H57" s="11"/>
      <c r="I57" s="11"/>
    </row>
    <row r="58" spans="2:9" ht="12.75">
      <c r="B58" s="10"/>
      <c r="C58" s="11"/>
      <c r="D58" s="11"/>
      <c r="E58" s="11"/>
      <c r="F58" s="11"/>
      <c r="G58" s="11"/>
      <c r="H58" s="11"/>
      <c r="I58" s="11"/>
    </row>
    <row r="59" spans="2:9" ht="12.75">
      <c r="B59" s="46"/>
      <c r="C59" s="11"/>
      <c r="D59" s="11"/>
      <c r="E59" s="11"/>
      <c r="F59" s="47"/>
      <c r="G59" s="11"/>
      <c r="H59" s="11"/>
      <c r="I59" s="11"/>
    </row>
    <row r="60" spans="2:9" ht="15.75">
      <c r="B60" s="55" t="s">
        <v>61</v>
      </c>
      <c r="C60" s="11"/>
      <c r="D60" s="11"/>
      <c r="E60" s="11"/>
      <c r="F60" s="56">
        <f>G46+G51+G57</f>
        <v>-142168.18</v>
      </c>
      <c r="G60" s="56" t="s">
        <v>47</v>
      </c>
      <c r="H60" s="11"/>
      <c r="I60" s="11"/>
    </row>
    <row r="61" spans="2:9" ht="12.75">
      <c r="B61" s="57" t="s">
        <v>48</v>
      </c>
      <c r="C61" s="11"/>
      <c r="D61" s="11"/>
      <c r="E61" s="11"/>
      <c r="F61" s="47"/>
      <c r="G61" s="11"/>
      <c r="H61" s="11"/>
      <c r="I61" s="11"/>
    </row>
    <row r="62" spans="2:9" ht="12.75">
      <c r="B62" s="57" t="s">
        <v>49</v>
      </c>
      <c r="C62" s="11"/>
      <c r="D62" s="11"/>
      <c r="E62" s="11"/>
      <c r="F62" s="47"/>
      <c r="G62" s="11"/>
      <c r="H62" s="11"/>
      <c r="I62" s="11"/>
    </row>
    <row r="63" spans="2:9" ht="12.75">
      <c r="B63" s="46"/>
      <c r="C63" s="11"/>
      <c r="D63" s="11"/>
      <c r="E63" s="11"/>
      <c r="F63" s="47"/>
      <c r="G63" s="11"/>
      <c r="H63" s="11"/>
      <c r="I63" s="11"/>
    </row>
    <row r="64" spans="2:9" ht="12.75">
      <c r="B64" s="46"/>
      <c r="C64" s="11"/>
      <c r="D64" s="11"/>
      <c r="E64" s="11"/>
      <c r="F64" s="47"/>
      <c r="G64" s="11"/>
      <c r="H64" s="11"/>
      <c r="I64" s="11"/>
    </row>
    <row r="65" spans="2:9" ht="15.75">
      <c r="B65" s="55" t="s">
        <v>50</v>
      </c>
      <c r="C65" s="11"/>
      <c r="D65" s="11"/>
      <c r="E65" s="11"/>
      <c r="F65" s="56">
        <f>-141658.01-211271.98</f>
        <v>-352929.99</v>
      </c>
      <c r="G65" s="56" t="s">
        <v>47</v>
      </c>
      <c r="H65" s="11"/>
      <c r="I65" s="11"/>
    </row>
    <row r="66" spans="2:9" ht="12.75">
      <c r="B66" s="57" t="s">
        <v>51</v>
      </c>
      <c r="C66" s="11"/>
      <c r="D66" s="11"/>
      <c r="E66" s="11"/>
      <c r="F66" s="47"/>
      <c r="G66" s="11"/>
      <c r="H66" s="11"/>
      <c r="I66" s="11"/>
    </row>
    <row r="67" spans="2:9" ht="12.75">
      <c r="B67" s="57" t="s">
        <v>52</v>
      </c>
      <c r="C67" s="11"/>
      <c r="D67" s="11"/>
      <c r="E67" s="11"/>
      <c r="F67" s="47"/>
      <c r="G67" s="11"/>
      <c r="H67" s="11"/>
      <c r="I67" s="11"/>
    </row>
    <row r="68" spans="2:9" ht="12.75">
      <c r="B68" s="33"/>
      <c r="C68" s="62"/>
      <c r="D68" s="62"/>
      <c r="E68" s="62"/>
      <c r="F68" s="62"/>
      <c r="G68" s="62"/>
      <c r="H68" s="62"/>
      <c r="I68" s="62"/>
    </row>
    <row r="69" spans="1:9" ht="15.75">
      <c r="A69" s="11"/>
      <c r="B69" s="58" t="s">
        <v>63</v>
      </c>
      <c r="C69" s="58"/>
      <c r="D69" s="58"/>
      <c r="E69" s="11"/>
      <c r="F69" s="56">
        <f>F60+F65</f>
        <v>-495098.17</v>
      </c>
      <c r="G69" s="56" t="s">
        <v>47</v>
      </c>
      <c r="H69" s="11"/>
      <c r="I69" s="11"/>
    </row>
    <row r="70" spans="1:9" ht="12.75">
      <c r="A70" s="11"/>
      <c r="B70" s="38" t="s">
        <v>48</v>
      </c>
      <c r="C70" s="38"/>
      <c r="D70" s="11"/>
      <c r="E70" s="11"/>
      <c r="F70" s="47"/>
      <c r="G70" s="11"/>
      <c r="H70" s="11"/>
      <c r="I70" s="11"/>
    </row>
    <row r="71" spans="1:9" ht="12.75">
      <c r="A71" s="11"/>
      <c r="B71" s="38" t="s">
        <v>49</v>
      </c>
      <c r="C71" s="11"/>
      <c r="D71" s="11"/>
      <c r="E71" s="11"/>
      <c r="F71" s="47"/>
      <c r="G71" s="11"/>
      <c r="H71" s="11"/>
      <c r="I71" s="11"/>
    </row>
    <row r="72" spans="2:6" ht="14.25">
      <c r="B72" s="61"/>
      <c r="C72" s="61"/>
      <c r="D72" s="61"/>
      <c r="E72" s="61"/>
      <c r="F72" s="61"/>
    </row>
    <row r="73" spans="2:9" ht="12.75">
      <c r="B73" s="33"/>
      <c r="C73" s="62"/>
      <c r="D73" s="62"/>
      <c r="E73" s="62"/>
      <c r="F73" s="62"/>
      <c r="G73" s="62"/>
      <c r="H73" s="62"/>
      <c r="I73" s="62"/>
    </row>
    <row r="74" spans="2:9" ht="12.75">
      <c r="B74" s="33"/>
      <c r="C74" s="62"/>
      <c r="D74" s="62"/>
      <c r="E74" s="62"/>
      <c r="F74" s="62"/>
      <c r="G74" s="62"/>
      <c r="H74" s="62"/>
      <c r="I74" s="62"/>
    </row>
    <row r="75" spans="1:9" ht="12.75">
      <c r="A75" s="33"/>
      <c r="B75" s="33"/>
      <c r="C75" s="59" t="s">
        <v>54</v>
      </c>
      <c r="D75" s="33"/>
      <c r="E75" s="33"/>
      <c r="F75" s="33"/>
      <c r="G75" s="33"/>
      <c r="H75" s="33"/>
      <c r="I75" s="33"/>
    </row>
    <row r="76" spans="2:9" ht="12.75">
      <c r="B76" s="33"/>
      <c r="C76" s="62"/>
      <c r="D76" s="62"/>
      <c r="E76" s="62"/>
      <c r="F76" s="62"/>
      <c r="G76" s="62"/>
      <c r="H76" s="62"/>
      <c r="I76" s="62"/>
    </row>
    <row r="77" s="33" customFormat="1" ht="12.75">
      <c r="A77" s="51"/>
    </row>
    <row r="78" spans="2:6" ht="15">
      <c r="B78" s="60"/>
      <c r="C78" s="61"/>
      <c r="D78" s="61"/>
      <c r="E78" s="61"/>
      <c r="F78" s="61"/>
    </row>
    <row r="79" spans="2:6" ht="14.25">
      <c r="B79" s="61"/>
      <c r="C79" s="61"/>
      <c r="D79" s="61"/>
      <c r="E79" s="61"/>
      <c r="F79" s="61"/>
    </row>
    <row r="80" spans="2:6" ht="14.25">
      <c r="B80" s="61"/>
      <c r="C80" s="61"/>
      <c r="D80" s="61"/>
      <c r="E80" s="61"/>
      <c r="F80" s="61"/>
    </row>
    <row r="81" spans="2:6" ht="14.25">
      <c r="B81" s="61"/>
      <c r="C81" s="61"/>
      <c r="D81" s="61"/>
      <c r="E81" s="61"/>
      <c r="F81" s="61"/>
    </row>
    <row r="82" spans="2:6" ht="14.25">
      <c r="B82" s="61"/>
      <c r="C82" s="61"/>
      <c r="D82" s="61"/>
      <c r="E82" s="61"/>
      <c r="F82" s="61"/>
    </row>
    <row r="83" spans="2:6" ht="14.25">
      <c r="B83" s="61"/>
      <c r="C83" s="61"/>
      <c r="D83" s="61"/>
      <c r="E83" s="61"/>
      <c r="F83" s="61"/>
    </row>
    <row r="84" spans="2:6" ht="14.25">
      <c r="B84" s="61"/>
      <c r="C84" s="61"/>
      <c r="D84" s="61"/>
      <c r="E84" s="61"/>
      <c r="F84" s="61"/>
    </row>
    <row r="85" spans="2:6" ht="14.25">
      <c r="B85" s="61"/>
      <c r="C85" s="61"/>
      <c r="D85" s="61"/>
      <c r="E85" s="61"/>
      <c r="F85" s="61"/>
    </row>
  </sheetData>
  <sheetProtection/>
  <mergeCells count="19">
    <mergeCell ref="B36:B37"/>
    <mergeCell ref="C36:C37"/>
    <mergeCell ref="D36:D37"/>
    <mergeCell ref="E36:E37"/>
    <mergeCell ref="F36:F37"/>
    <mergeCell ref="G36:G37"/>
    <mergeCell ref="B13:G13"/>
    <mergeCell ref="B34:B35"/>
    <mergeCell ref="C34:C35"/>
    <mergeCell ref="D34:D35"/>
    <mergeCell ref="E34:E35"/>
    <mergeCell ref="F34:F35"/>
    <mergeCell ref="G34:G35"/>
    <mergeCell ref="B8:G8"/>
    <mergeCell ref="C9:C11"/>
    <mergeCell ref="D9:D11"/>
    <mergeCell ref="E9:E11"/>
    <mergeCell ref="F9:F11"/>
    <mergeCell ref="G9:G11"/>
  </mergeCells>
  <printOptions/>
  <pageMargins left="0.16" right="0.22" top="0.34" bottom="0.37" header="0.23" footer="0.28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Директор</cp:lastModifiedBy>
  <dcterms:created xsi:type="dcterms:W3CDTF">2014-04-04T06:27:47Z</dcterms:created>
  <dcterms:modified xsi:type="dcterms:W3CDTF">2014-04-04T06:30:02Z</dcterms:modified>
  <cp:category/>
  <cp:version/>
  <cp:contentType/>
  <cp:contentStatus/>
</cp:coreProperties>
</file>