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0" activeTab="43"/>
  </bookViews>
  <sheets>
    <sheet name="Беляева 39" sheetId="1" r:id="rId1"/>
    <sheet name="Беляева 40" sheetId="2" r:id="rId2"/>
    <sheet name="Беляева 41" sheetId="3" r:id="rId3"/>
    <sheet name="Беляева 43" sheetId="4" r:id="rId4"/>
    <sheet name="Беляева 46" sheetId="5" r:id="rId5"/>
    <sheet name="Беляева 61" sheetId="6" r:id="rId6"/>
    <sheet name="Беляева 47" sheetId="7" r:id="rId7"/>
    <sheet name="Беляева 48" sheetId="8" r:id="rId8"/>
    <sheet name="Беляева 49" sheetId="9" r:id="rId9"/>
    <sheet name="Беляева 49А" sheetId="10" r:id="rId10"/>
    <sheet name="Беляева 51" sheetId="11" r:id="rId11"/>
    <sheet name="Беляева 51А" sheetId="12" r:id="rId12"/>
    <sheet name="Беляева 52" sheetId="13" r:id="rId13"/>
    <sheet name="Беляева 54" sheetId="14" r:id="rId14"/>
    <sheet name="Беляева 59" sheetId="15" r:id="rId15"/>
    <sheet name="Геологов,8" sheetId="16" r:id="rId16"/>
    <sheet name="Власова,15" sheetId="17" r:id="rId17"/>
    <sheet name="Власова 17" sheetId="18" r:id="rId18"/>
    <sheet name="Власова,19" sheetId="19" r:id="rId19"/>
    <sheet name="Власова,21" sheetId="20" r:id="rId20"/>
    <sheet name="Власова,23" sheetId="21" r:id="rId21"/>
    <sheet name="Власова,25" sheetId="22" r:id="rId22"/>
    <sheet name="Власова,27" sheetId="23" r:id="rId23"/>
    <sheet name="Власова,29" sheetId="24" r:id="rId24"/>
    <sheet name="Власова,31" sheetId="25" r:id="rId25"/>
    <sheet name="Власова,35" sheetId="26" r:id="rId26"/>
    <sheet name="Геологов,4" sheetId="27" r:id="rId27"/>
    <sheet name="Леонова,56" sheetId="28" r:id="rId28"/>
    <sheet name="Леонова,36" sheetId="29" r:id="rId29"/>
    <sheet name="Леонова,38" sheetId="30" r:id="rId30"/>
    <sheet name="Леонова,40" sheetId="31" r:id="rId31"/>
    <sheet name="Леонова,42" sheetId="32" r:id="rId32"/>
    <sheet name="Леонова,44" sheetId="33" r:id="rId33"/>
    <sheet name="Леонова,46" sheetId="34" r:id="rId34"/>
    <sheet name="Леонова,48" sheetId="35" r:id="rId35"/>
    <sheet name="Леонова,48А" sheetId="36" r:id="rId36"/>
    <sheet name="Леонова,52" sheetId="37" r:id="rId37"/>
    <sheet name="Экскаваторная,62" sheetId="38" r:id="rId38"/>
    <sheet name="Нефтяников,53" sheetId="39" r:id="rId39"/>
    <sheet name="Нефтяников,55" sheetId="40" r:id="rId40"/>
    <sheet name="Нефтяников,57" sheetId="41" r:id="rId41"/>
    <sheet name="Нефтяников,59" sheetId="42" r:id="rId42"/>
    <sheet name="Экскаваторная,58" sheetId="43" r:id="rId43"/>
    <sheet name="Экскаваторная,60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62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G63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9"/>
            <rFont val="Tahoma"/>
            <family val="0"/>
          </rPr>
          <t>по ведомости инкомуса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G63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G67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G67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G65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G63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убрала установку ОПУ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G65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62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G63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user</author>
  </authors>
  <commentList>
    <comment ref="G65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user</author>
  </authors>
  <commentList>
    <comment ref="G66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62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63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0"/>
          </rPr>
          <t>убрала сумму за установку счетчиков, т.к. начисления по ней были отдельно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G64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G63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G63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G63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<sst xmlns="http://schemas.openxmlformats.org/spreadsheetml/2006/main" count="3830" uniqueCount="120">
  <si>
    <t>Отчет о выполнении договора управления многоквартирным домом по адресу:</t>
  </si>
  <si>
    <t>г. Пермь, ул. Беляева , дом №39</t>
  </si>
  <si>
    <t>1.Содержание жилья</t>
  </si>
  <si>
    <t>Наименование статьи</t>
  </si>
  <si>
    <t>Фактические затраты              (ООО УК «Дом Мастер»)</t>
  </si>
  <si>
    <t>1.Визуальные осмотры технического  состояния общего имущества.</t>
  </si>
  <si>
    <t>3.Подготовка к сезонной эксплуатации жилищного фонда.</t>
  </si>
  <si>
    <t>Итого:</t>
  </si>
  <si>
    <t>Благоустройство и обеспечение санитарного состояния</t>
  </si>
  <si>
    <t>Содержание и обслуживание придомовой территории</t>
  </si>
  <si>
    <t>Дератизация и дезинсекция</t>
  </si>
  <si>
    <t>Очистка вентиляционных шахт</t>
  </si>
  <si>
    <t>Освещение мест общего пользования</t>
  </si>
  <si>
    <t>Вывоз твердых бытовых отходов</t>
  </si>
  <si>
    <t>Содержание  и ремонт газового оборудования</t>
  </si>
  <si>
    <t xml:space="preserve">                      Всего:</t>
  </si>
  <si>
    <t>Выполнено работ на сумму</t>
  </si>
  <si>
    <t>Текущий ремонт конструктивных элементов и инженерного оборудования</t>
  </si>
  <si>
    <t>Итого</t>
  </si>
  <si>
    <t xml:space="preserve">                    Итого:</t>
  </si>
  <si>
    <t>Директор                                                                            Базанова Н.Р.</t>
  </si>
  <si>
    <t>Фактическая оплата с учетом долгов прошлых периодов (жителей)</t>
  </si>
  <si>
    <t>2.Регулировка и наладка, гидравлические испытания инженерного оборудования.</t>
  </si>
  <si>
    <t>Фактическая оплата с учетом долгов прошлых периодов</t>
  </si>
  <si>
    <t>Техническое обслуживание</t>
  </si>
  <si>
    <t>Начислено платы за коммунальные услуги</t>
  </si>
  <si>
    <t>Фактическая оплата собственниками</t>
  </si>
  <si>
    <t>Предъявлено ресурсоснабжающими организациями жителям</t>
  </si>
  <si>
    <t>Начислено платы, в т.ч. расходы по управлению (18%)</t>
  </si>
  <si>
    <t>∆                                   (-) - превышение расходов по статье;                               (+) - неизрасходованная сумма</t>
  </si>
  <si>
    <t>3. Коммунальные услуги</t>
  </si>
  <si>
    <t>Отклонения по оплате собственниками (-) - задолженность собственников; (+) - переплата собственниками</t>
  </si>
  <si>
    <t>в том числе</t>
  </si>
  <si>
    <t>2. задолженность жителей по коммунальным услугам</t>
  </si>
  <si>
    <t>1. задолженность жителей по содержанию и текущему ремонту общего имущества</t>
  </si>
  <si>
    <t>2. Превышение расходов управляющей компании над поступлением ден. средств, руб.:</t>
  </si>
  <si>
    <t>1. по содержанию и текущему ремонту общего имущества</t>
  </si>
  <si>
    <t>2. по коммунальным услугам</t>
  </si>
  <si>
    <t>(-) -  перерасход денежных средств</t>
  </si>
  <si>
    <t>(+) - неизрасходованная сумма</t>
  </si>
  <si>
    <t xml:space="preserve"> руб.</t>
  </si>
  <si>
    <t xml:space="preserve">1. Общая задолженность жителей многоквартирного дома перед ООО УК «Дом Мастер» составляет, руб.: </t>
  </si>
  <si>
    <t>4 =3-2</t>
  </si>
  <si>
    <t>6=2-5</t>
  </si>
  <si>
    <t>Теплопотребление (отопление и горячее водоснабжение)</t>
  </si>
  <si>
    <t>с 01 января 2012 г. по 31 декабря 2012 г. (за 12 месяцев)</t>
  </si>
  <si>
    <t>Водопотребление (водоснабжение и водоотведение)</t>
  </si>
  <si>
    <t>2.Текущий ремонт</t>
  </si>
  <si>
    <t xml:space="preserve">3. Неизрасходованная сумма за12 месяцев составляет, руб.      </t>
  </si>
  <si>
    <t xml:space="preserve">Результат по итогам 12 месяцев 2012  года составил: </t>
  </si>
  <si>
    <t xml:space="preserve">Задолженость/переплата жителей за 2012 год составила: </t>
  </si>
  <si>
    <t xml:space="preserve">Общая задолженость/переплата жителей на 01.01.2013: </t>
  </si>
  <si>
    <t xml:space="preserve">(-) -  задолженность </t>
  </si>
  <si>
    <t>(+) - переплата</t>
  </si>
  <si>
    <t xml:space="preserve">Результат за период 2010 г. - 2011 г.: </t>
  </si>
  <si>
    <t>(без учета задолженности жителей)</t>
  </si>
  <si>
    <t xml:space="preserve">Результат с учетом предыдущих периодов составил: </t>
  </si>
  <si>
    <t>4. Прочие услуги</t>
  </si>
  <si>
    <t>Реклама в лифтах, плата за установленное на домах оборудование</t>
  </si>
  <si>
    <t>г. Пермь, ул. Беляева , дом №40</t>
  </si>
  <si>
    <t>Содержание и ремонт лифтов</t>
  </si>
  <si>
    <t>Обслуживание мусоропровода</t>
  </si>
  <si>
    <t xml:space="preserve">1. Задолженность/переплата жителей многоквартирного дома перед ООО УК «Дом Мастер» составляет, руб.: </t>
  </si>
  <si>
    <t>1. задолженность/переплата жителей по содержанию и текущему ремонту общего имущества</t>
  </si>
  <si>
    <t>2. задолженность/переплата жителей по коммунальным услугам</t>
  </si>
  <si>
    <t xml:space="preserve">3. Неизрасходованная сумма за 12 месяцев составляет, руб.      </t>
  </si>
  <si>
    <t xml:space="preserve">3. Неизрасходованная сумма 12 месяцев составляет, руб.      </t>
  </si>
  <si>
    <t>1. задолженность/переплата жителей по содержанию и ремонту общего имущества</t>
  </si>
  <si>
    <t>г. Пермь, ул. Беляева , дом №41</t>
  </si>
  <si>
    <t>*Водопотребление (водоснабжение и водоотведение)</t>
  </si>
  <si>
    <t>Уборка мест общего пользования</t>
  </si>
  <si>
    <t>г. Пермь, ул. Беляева , дом №43</t>
  </si>
  <si>
    <t>(-) -  задолженность</t>
  </si>
  <si>
    <t>2.Текущий ремонт*</t>
  </si>
  <si>
    <t>г. Пермь, ул. Беляева , дом №46</t>
  </si>
  <si>
    <t>г. Пермь, ул. Беляева , дом №61</t>
  </si>
  <si>
    <t>г. Пермь, ул. Беляева , дом №47</t>
  </si>
  <si>
    <t>г. Пермь, ул. Беляева , дом №48</t>
  </si>
  <si>
    <t>г. Пермь, ул. Беляева , дом №49</t>
  </si>
  <si>
    <t>г. Пермь, ул. Беляева , дом №49А</t>
  </si>
  <si>
    <t>г. Пермь, ул. Беляева , дом №51</t>
  </si>
  <si>
    <t xml:space="preserve">1. Ззадолженность/переплата жителей многоквартирного дома перед ООО УК «Дом Мастер» составляет, руб.: </t>
  </si>
  <si>
    <t>г. Пермь, ул. Беляева , дом №51А</t>
  </si>
  <si>
    <t>г. Пермь, ул. Беляева , дом №52</t>
  </si>
  <si>
    <t>г. Пермь, ул. Беляева , дом №54</t>
  </si>
  <si>
    <t>Электроэнергия</t>
  </si>
  <si>
    <t>г. Пермь, ул. Беляева , дом №59</t>
  </si>
  <si>
    <t>2. Превышение расходов управляющей компании над начислением ден. средств, руб.:</t>
  </si>
  <si>
    <t>Теплопотребление (отопление и горячее водоснабжение) за период с 01.11.2009 по 31.10.2010 г.</t>
  </si>
  <si>
    <t>г. Пермь, ул. Геологов , дом № 8</t>
  </si>
  <si>
    <t>г. Пермь, ул. Власова , дом № 15</t>
  </si>
  <si>
    <t xml:space="preserve">1. Задолженность жителей многоквартирного дома перед ООО УК «Дом Мастер» составляет, руб.: </t>
  </si>
  <si>
    <t>г. Пермь, ул. Милиционера Власова , дом № 17</t>
  </si>
  <si>
    <t>г. Пермь, ул. Власова , дом № 19</t>
  </si>
  <si>
    <t>г. Пермь, ул. Власова , дом № 21</t>
  </si>
  <si>
    <t>г. Пермь, ул. Власова , дом № 23</t>
  </si>
  <si>
    <t>г. Пермь, ул. Власова , дом № 25</t>
  </si>
  <si>
    <t>г. Пермь, ул. Власова , дом № 27</t>
  </si>
  <si>
    <t>г. Пермь, ул. Власова , дом № 29</t>
  </si>
  <si>
    <t>г. Пермь, ул. Власова , дом № 31</t>
  </si>
  <si>
    <t>г. Пермь, ул. Власова , дом № 35</t>
  </si>
  <si>
    <t>Обслуживание бытовых электроплит</t>
  </si>
  <si>
    <t>г. Пермь, ул. Геологов , дом № 4</t>
  </si>
  <si>
    <t>г. Пермь, ул. Леонова , дом № 56</t>
  </si>
  <si>
    <t>г. Пермь, ул. Леонова , дом № 36</t>
  </si>
  <si>
    <t>г. Пермь, ул. Леонова , дом № 38</t>
  </si>
  <si>
    <t>г. Пермь, ул. Леонова , дом № 40</t>
  </si>
  <si>
    <t>г. Пермь, ул. Леонова , дом № 42</t>
  </si>
  <si>
    <t>г. Пермь, ул. Леонова , дом № 44</t>
  </si>
  <si>
    <t>г. Пермь, ул. Леонова , дом № 46</t>
  </si>
  <si>
    <t>г. Пермь, ул. Леонова , дом № 48</t>
  </si>
  <si>
    <t>г. Пермь, ул. Леонова , дом № 48А</t>
  </si>
  <si>
    <t>г. Пермь, ул. Леонова , дом № 52</t>
  </si>
  <si>
    <t>г. Пермь, ул. Экскаваторная , дом № 62</t>
  </si>
  <si>
    <t>г. Пермь, ул. Нефтяников , дом № 53</t>
  </si>
  <si>
    <t>г. Пермь, ул. Нефтяников , дом № 55</t>
  </si>
  <si>
    <t>г. Пермь, ул. Нефтяников , дом № 57</t>
  </si>
  <si>
    <t>г. Пермь, ул. Нефтяников , дом № 59</t>
  </si>
  <si>
    <t>г. Пермь, ул. Экскаваторная , дом № 58</t>
  </si>
  <si>
    <t>г. Пермь, ул. Экскаваторная , дом № 60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</si>
</sst>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" fontId="4" fillId="0" borderId="16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4" fontId="4" fillId="0" borderId="1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4" fontId="10" fillId="33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31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" fontId="31" fillId="0" borderId="12" xfId="0" applyNumberFormat="1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51" fillId="0" borderId="16" xfId="0" applyNumberFormat="1" applyFont="1" applyBorder="1" applyAlignment="1">
      <alignment horizontal="center" vertical="center" wrapText="1"/>
    </xf>
    <xf numFmtId="4" fontId="1" fillId="31" borderId="0" xfId="0" applyNumberFormat="1" applyFont="1" applyFill="1" applyAlignment="1">
      <alignment/>
    </xf>
    <xf numFmtId="3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4" fontId="51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externalLink" Target="externalLinks/externalLink7.xml" /><Relationship Id="rId54" Type="http://schemas.openxmlformats.org/officeDocument/2006/relationships/externalLink" Target="externalLinks/externalLink8.xml" /><Relationship Id="rId55" Type="http://schemas.openxmlformats.org/officeDocument/2006/relationships/externalLink" Target="externalLinks/externalLink9.xml" /><Relationship Id="rId56" Type="http://schemas.openxmlformats.org/officeDocument/2006/relationships/externalLink" Target="externalLinks/externalLink10.xml" /><Relationship Id="rId57" Type="http://schemas.openxmlformats.org/officeDocument/2006/relationships/externalLink" Target="externalLinks/externalLink11.xml" /><Relationship Id="rId58" Type="http://schemas.openxmlformats.org/officeDocument/2006/relationships/externalLink" Target="externalLinks/externalLink12.xml" /><Relationship Id="rId59" Type="http://schemas.openxmlformats.org/officeDocument/2006/relationships/externalLink" Target="externalLinks/externalLink13.xml" /><Relationship Id="rId60" Type="http://schemas.openxmlformats.org/officeDocument/2006/relationships/externalLink" Target="externalLinks/externalLink14.xml" /><Relationship Id="rId61" Type="http://schemas.openxmlformats.org/officeDocument/2006/relationships/externalLink" Target="externalLinks/externalLink15.xml" /><Relationship Id="rId62" Type="http://schemas.openxmlformats.org/officeDocument/2006/relationships/externalLink" Target="externalLinks/externalLink16.xml" /><Relationship Id="rId63" Type="http://schemas.openxmlformats.org/officeDocument/2006/relationships/externalLink" Target="externalLinks/externalLink17.xml" /><Relationship Id="rId64" Type="http://schemas.openxmlformats.org/officeDocument/2006/relationships/externalLink" Target="externalLinks/externalLink18.xml" /><Relationship Id="rId65" Type="http://schemas.openxmlformats.org/officeDocument/2006/relationships/externalLink" Target="externalLinks/externalLink19.xml" /><Relationship Id="rId66" Type="http://schemas.openxmlformats.org/officeDocument/2006/relationships/externalLink" Target="externalLinks/externalLink20.xml" /><Relationship Id="rId67" Type="http://schemas.openxmlformats.org/officeDocument/2006/relationships/externalLink" Target="externalLinks/externalLink21.xml" /><Relationship Id="rId68" Type="http://schemas.openxmlformats.org/officeDocument/2006/relationships/externalLink" Target="externalLinks/externalLink22.xml" /><Relationship Id="rId69" Type="http://schemas.openxmlformats.org/officeDocument/2006/relationships/externalLink" Target="externalLinks/externalLink23.xml" /><Relationship Id="rId70" Type="http://schemas.openxmlformats.org/officeDocument/2006/relationships/externalLink" Target="externalLinks/externalLink24.xml" /><Relationship Id="rId71" Type="http://schemas.openxmlformats.org/officeDocument/2006/relationships/externalLink" Target="externalLinks/externalLink25.xml" /><Relationship Id="rId72" Type="http://schemas.openxmlformats.org/officeDocument/2006/relationships/externalLink" Target="externalLinks/externalLink26.xml" /><Relationship Id="rId73" Type="http://schemas.openxmlformats.org/officeDocument/2006/relationships/externalLink" Target="externalLinks/externalLink27.xml" /><Relationship Id="rId74" Type="http://schemas.openxmlformats.org/officeDocument/2006/relationships/externalLink" Target="externalLinks/externalLink28.xml" /><Relationship Id="rId75" Type="http://schemas.openxmlformats.org/officeDocument/2006/relationships/externalLink" Target="externalLinks/externalLink29.xml" /><Relationship Id="rId76" Type="http://schemas.openxmlformats.org/officeDocument/2006/relationships/externalLink" Target="externalLinks/externalLink30.xml" /><Relationship Id="rId77" Type="http://schemas.openxmlformats.org/officeDocument/2006/relationships/externalLink" Target="externalLinks/externalLink31.xml" /><Relationship Id="rId78" Type="http://schemas.openxmlformats.org/officeDocument/2006/relationships/externalLink" Target="externalLinks/externalLink32.xml" /><Relationship Id="rId79" Type="http://schemas.openxmlformats.org/officeDocument/2006/relationships/externalLink" Target="externalLinks/externalLink33.xml" /><Relationship Id="rId80" Type="http://schemas.openxmlformats.org/officeDocument/2006/relationships/externalLink" Target="externalLinks/externalLink34.xml" /><Relationship Id="rId81" Type="http://schemas.openxmlformats.org/officeDocument/2006/relationships/externalLink" Target="externalLinks/externalLink35.xml" /><Relationship Id="rId82" Type="http://schemas.openxmlformats.org/officeDocument/2006/relationships/externalLink" Target="externalLinks/externalLink36.xml" /><Relationship Id="rId83" Type="http://schemas.openxmlformats.org/officeDocument/2006/relationships/externalLink" Target="externalLinks/externalLink37.xml" /><Relationship Id="rId84" Type="http://schemas.openxmlformats.org/officeDocument/2006/relationships/externalLink" Target="externalLinks/externalLink38.xml" /><Relationship Id="rId85" Type="http://schemas.openxmlformats.org/officeDocument/2006/relationships/externalLink" Target="externalLinks/externalLink39.xml" /><Relationship Id="rId86" Type="http://schemas.openxmlformats.org/officeDocument/2006/relationships/externalLink" Target="externalLinks/externalLink40.xml" /><Relationship Id="rId87" Type="http://schemas.openxmlformats.org/officeDocument/2006/relationships/externalLink" Target="externalLinks/externalLink41.xml" /><Relationship Id="rId88" Type="http://schemas.openxmlformats.org/officeDocument/2006/relationships/externalLink" Target="externalLinks/externalLink42.xml" /><Relationship Id="rId89" Type="http://schemas.openxmlformats.org/officeDocument/2006/relationships/externalLink" Target="externalLinks/externalLink43.xml" /><Relationship Id="rId90" Type="http://schemas.openxmlformats.org/officeDocument/2006/relationships/externalLink" Target="externalLinks/externalLink44.xml" /><Relationship Id="rId9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39_&#1055;&#1086;&#1086;&#1073;&#1098;&#1077;&#1082;&#1090;&#1085;&#1099;&#1081;_2012_&#1041;&#1086;&#1081;&#1083;&#1077;&#108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49&#1040;_&#1055;&#1086;&#1086;&#1073;&#1098;&#1077;&#1082;&#1090;&#1085;&#1099;&#1081;_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51_&#1055;&#1086;&#1086;&#1073;&#1098;&#1077;&#1082;&#1090;&#1085;&#1099;&#1081;_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51&#1040;_&#1055;&#1086;&#1086;&#1073;&#1098;&#1077;&#1082;&#1090;&#1085;&#1099;&#1081;_2012_&#1054;&#1055;&#1059;_&#1041;&#1086;&#1081;&#1083;&#1077;&#10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52_&#1055;&#1086;&#1086;&#1073;&#1098;&#1077;&#1082;&#1090;&#1085;&#1099;&#1081;_2012_&#1054;&#1055;&#105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54_&#1055;&#1086;&#1086;&#1073;&#1098;&#1077;&#1082;&#1090;&#1085;&#1099;&#1081;_20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59_&#1055;&#1086;&#1086;&#1073;&#1098;&#1077;&#1082;&#1090;&#1085;&#1099;&#1081;_20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3;&#1077;&#1086;&#1083;&#1086;&#1075;&#1086;&#1074;_8_&#1055;&#1086;&#1086;&#1073;&#1098;&#1077;&#1082;&#1090;&#1085;&#1099;&#1081;_2012_&#1054;&#1055;&#105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2;&#1083;&#1072;&#1089;&#1086;&#1074;&#1072;_15_&#1055;&#1086;&#1086;&#1073;&#1098;&#1077;&#1082;&#1090;&#1085;&#1099;&#1081;_20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2;&#1083;&#1072;&#1089;&#1086;&#1074;&#1072;_17_&#1055;&#1086;&#1086;&#1073;&#1098;&#1077;&#1082;&#1090;&#1085;&#1099;&#1081;_2012%20-%20&#1054;&#1041;&#1065;&#1048;&#104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2;&#1083;&#1072;&#1089;&#1086;&#1074;&#1072;_19_&#1055;&#1086;&#1086;&#1073;&#1098;&#1077;&#1082;&#1090;&#1085;&#1099;&#1081;_2012_&#1041;&#1086;&#1081;&#1083;&#1077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40_&#1055;&#1086;&#1086;&#1073;&#1098;&#1077;&#1082;&#1090;&#1085;&#1099;&#1081;_2012_&#1054;&#1055;&#105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2;&#1083;&#1072;&#1089;&#1086;&#1074;&#1072;_21_&#1055;&#1086;&#1086;&#1073;&#1098;&#1077;&#1082;&#1090;&#1085;&#1099;&#1081;_2012_&#1041;&#1086;&#1081;&#1083;&#1077;&#108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2;&#1083;&#1072;&#1089;&#1086;&#1074;&#1072;_23_&#1055;&#1086;&#1086;&#1073;&#1098;&#1077;&#1082;&#1090;&#1085;&#1099;&#1081;_2012_&#1041;&#1086;&#1081;&#1083;&#1077;&#108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2;&#1083;&#1072;&#1089;&#1086;&#1074;&#1072;_25_&#1055;&#1086;&#1086;&#1073;&#1098;&#1077;&#1082;&#1090;&#1085;&#1099;&#1081;_2012_&#1041;&#1086;&#1081;&#1083;&#1077;&#108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2;&#1083;&#1072;&#1089;&#1086;&#1074;&#1072;_27_&#1055;&#1086;&#1086;&#1073;&#1098;&#1077;&#1082;&#1090;&#1085;&#1099;&#1081;_2012_&#1041;&#1086;&#1081;&#1083;&#1077;&#108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2;&#1083;&#1072;&#1089;&#1086;&#1074;&#1072;_29_&#1055;&#1086;&#1086;&#1073;&#1098;&#1077;&#1082;&#1090;&#1085;&#1099;&#1081;_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2;&#1083;&#1072;&#1089;&#1086;&#1074;&#1072;_31_&#1055;&#1086;&#1086;&#1073;&#1098;&#1077;&#1082;&#1090;&#1085;&#1099;&#1081;_2012_&#1041;&#1086;&#1081;&#1083;&#1077;&#108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2;&#1083;&#1072;&#1089;&#1086;&#1074;&#1072;_35_&#1055;&#1086;&#1086;&#1073;&#1098;&#1077;&#1082;&#1090;&#1085;&#1099;&#1081;_2012_&#1054;&#1055;&#1059;_&#1041;&#1086;&#1081;&#1083;&#1077;&#1088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3;&#1077;&#1086;&#1083;&#1086;&#1075;&#1086;&#1074;_4_&#1055;&#1086;&#1086;&#1073;&#1098;&#1077;&#1082;&#1090;&#1085;&#1099;&#1081;_2012_&#1054;&#1055;&#105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1;&#1077;&#1086;&#1085;&#1086;&#1074;&#1072;_56_&#1055;&#1086;&#1086;&#1073;&#1098;&#1077;&#1082;&#1090;&#1085;&#1099;&#1081;_2012_&#1041;&#1086;&#1081;&#1083;&#1077;&#108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1;&#1077;&#1086;&#1085;&#1086;&#1074;&#1072;_36_&#1055;&#1086;&#1086;&#1073;&#1098;&#1077;&#1082;&#1090;&#1085;&#1099;&#1081;_2012_&#1041;&#1086;&#1081;&#1083;&#1077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41_&#1055;&#1086;&#1086;&#1073;&#1098;&#1077;&#1082;&#1090;&#1085;&#1099;&#1081;_2012_&#1054;&#1055;&#1059;_&#1041;&#1086;&#1081;&#1083;&#1077;&#1088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1;&#1077;&#1086;&#1085;&#1086;&#1074;&#1072;_38_&#1055;&#1086;&#1086;&#1073;&#1098;&#1077;&#1082;&#1090;&#1085;&#1099;&#1081;_2012_&#1041;&#1086;&#1081;&#1083;&#1077;&#108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1;&#1077;&#1086;&#1085;&#1086;&#1074;&#1072;_40_&#1055;&#1086;&#1086;&#1073;&#1098;&#1077;&#1082;&#1090;&#1085;&#1099;&#1081;_2012_&#1041;&#1086;&#1081;&#1083;&#1077;&#1088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1;&#1077;&#1086;&#1085;&#1086;&#1074;&#1072;_42_&#1055;&#1086;&#1086;&#1073;&#1098;&#1077;&#1082;&#1090;&#1085;&#1099;&#1081;_2012_&#1041;&#1086;&#1081;&#1083;&#1077;&#1088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1;&#1077;&#1086;&#1085;&#1086;&#1074;&#1072;_44_&#1055;&#1086;&#1086;&#1073;&#1098;&#1077;&#1082;&#1090;&#1085;&#1099;&#1081;_2012_&#1041;&#1086;&#1081;&#1083;&#1077;&#108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1;&#1077;&#1086;&#1085;&#1086;&#1074;&#1072;_46_&#1055;&#1086;&#1086;&#1073;&#1098;&#1077;&#1082;&#1090;&#1085;&#1099;&#1081;_2012_&#1041;&#1086;&#1081;&#1083;&#1077;&#1088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1;&#1077;&#1086;&#1085;&#1086;&#1074;&#1072;_48_&#1055;&#1086;&#1086;&#1073;&#1098;&#1077;&#1082;&#1090;&#1085;&#1099;&#1081;_2012_&#1041;&#1086;&#1081;&#1083;&#1077;&#1088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1;&#1077;&#1086;&#1085;&#1086;&#1074;&#1072;_48&#1040;_&#1055;&#1086;&#1086;&#1073;&#1098;&#1077;&#1082;&#1090;&#1085;&#1099;&#1081;_2012_&#1041;&#1086;&#1081;&#1083;&#1077;&#1088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1;&#1077;&#1086;&#1085;&#1086;&#1074;&#1072;_52_&#1055;&#1086;&#1086;&#1073;&#1098;&#1077;&#1082;&#1090;&#1085;&#1099;&#1081;_2012_&#1041;&#1086;&#1081;&#1083;&#1077;&#1088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69;&#1082;&#1089;&#1082;&#1072;&#1074;&#1072;&#1090;&#1086;&#1088;&#1085;&#1072;&#1103;_62_&#1055;&#1086;&#1086;&#1073;&#1098;&#1077;&#1082;&#1090;&#1085;&#1099;&#1081;_2012_&#1054;&#1055;&#105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3;&#1077;&#1092;&#1090;&#1103;&#1085;&#1080;&#1082;&#1086;&#1074;_53_&#1055;&#1086;&#1086;&#1073;&#1098;&#1077;&#1082;&#1090;&#1085;&#1099;&#1081;_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43_&#1055;&#1086;&#1086;&#1073;&#1098;&#1077;&#1082;&#1090;&#1085;&#1099;&#1081;_2012_&#1054;&#1055;&#1059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90;&#1095;&#1077;&#1090;&#1099;%20&#1044;&#1052;\2012\4-&#1099;&#1081;%20&#1082;&#1074;&#1072;&#1088;&#1090;&#1072;&#1083;\&#1055;&#1086;&#1086;&#1073;&#1098;&#1077;&#1082;&#1090;&#1085;&#1099;&#1081;_2012\&#1053;&#1077;&#1092;&#1090;&#1103;&#1085;&#1080;&#1082;&#1086;&#1074;_55_&#1055;&#1086;&#1086;&#1073;&#1098;&#1077;&#1082;&#1090;&#1085;&#1099;&#1081;_201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90;&#1095;&#1077;&#1090;&#1099;%20&#1044;&#1052;\2012\4-&#1099;&#1081;%20&#1082;&#1074;&#1072;&#1088;&#1090;&#1072;&#1083;\&#1055;&#1086;&#1086;&#1073;&#1098;&#1077;&#1082;&#1090;&#1085;&#1099;&#1081;_2012\&#1053;&#1077;&#1092;&#1090;&#1103;&#1085;&#1080;&#1082;&#1086;&#1074;_57_&#1055;&#1086;&#1086;&#1073;&#1098;&#1077;&#1082;&#1090;&#1085;&#1099;&#1081;_2012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53;&#1077;&#1092;&#1090;&#1103;&#1085;&#1080;&#1082;&#1086;&#1074;_59_&#1055;&#1086;&#1086;&#1073;&#1098;&#1077;&#1082;&#1090;&#1085;&#1099;&#1081;_2012_&#1054;&#1055;&#1059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90;&#1095;&#1077;&#1090;&#1099;%20&#1044;&#1052;\2012\4-&#1099;&#1081;%20&#1082;&#1074;&#1072;&#1088;&#1090;&#1072;&#1083;\&#1055;&#1086;&#1086;&#1073;&#1098;&#1077;&#1082;&#1090;&#1085;&#1099;&#1081;_2012\&#1069;&#1082;&#1089;&#1082;&#1072;&#1074;&#1072;&#1090;&#1086;&#1088;&#1085;&#1072;&#1103;_58_&#1055;&#1086;&#1086;&#1073;&#1098;&#1077;&#1082;&#1090;&#1085;&#1099;&#1081;_201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90;&#1095;&#1077;&#1090;&#1099;%20&#1044;&#1052;\2012\4-&#1099;&#1081;%20&#1082;&#1074;&#1072;&#1088;&#1090;&#1072;&#1083;\&#1055;&#1086;&#1086;&#1073;&#1098;&#1077;&#1082;&#1090;&#1085;&#1099;&#1081;_2012\&#1069;&#1082;&#1089;&#1082;&#1072;&#1074;&#1072;&#1090;&#1086;&#1088;&#1085;&#1072;&#1103;_60_&#1055;&#1086;&#1086;&#1073;&#1098;&#1077;&#1082;&#1090;&#1085;&#1099;&#1081;_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46_&#1055;&#1086;&#1086;&#1073;&#1098;&#1077;&#1082;&#1090;&#1085;&#1099;&#1081;_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61_&#1055;&#1086;&#1086;&#1073;&#1098;&#1077;&#1082;&#1090;&#1085;&#1099;&#1081;_2012_&#1041;&#1086;&#1081;&#1083;&#1077;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47_&#1055;&#1086;&#1086;&#1073;&#1098;&#1077;&#1082;&#1090;&#1085;&#1099;&#1081;_2012_&#1054;&#1055;&#1059;_&#1041;&#1086;&#1081;&#1083;&#1077;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48_&#1055;&#1086;&#1086;&#1073;&#1098;&#1077;&#1082;&#1090;&#1085;&#1099;&#1081;_2012_&#1054;&#1055;&#105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2\4-&#1099;&#1081;%20&#1082;&#1074;&#1072;&#1088;&#1090;&#1072;&#1083;\&#1055;&#1086;&#1086;&#1073;&#1098;&#1077;&#1082;&#1090;&#1085;&#1099;&#1081;_2012\&#1041;&#1077;&#1083;&#1103;&#1077;&#1074;&#1072;_49_&#1055;&#1086;&#1086;&#1073;&#1098;&#1077;&#1082;&#1090;&#1085;&#1099;&#1081;_2012_&#1054;&#1055;&#1059;_&#1041;&#1086;&#1081;&#1083;&#107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203448</v>
          </cell>
          <cell r="R12">
            <v>195181</v>
          </cell>
          <cell r="U12">
            <v>136309</v>
          </cell>
        </row>
        <row r="15">
          <cell r="N15">
            <v>114595</v>
          </cell>
          <cell r="R15">
            <v>109938</v>
          </cell>
          <cell r="T15">
            <v>114595</v>
          </cell>
        </row>
        <row r="18">
          <cell r="N18">
            <v>44262</v>
          </cell>
          <cell r="R18">
            <v>42464</v>
          </cell>
        </row>
        <row r="19">
          <cell r="N19">
            <v>4091</v>
          </cell>
          <cell r="R19">
            <v>3924</v>
          </cell>
        </row>
        <row r="20">
          <cell r="N20">
            <v>9110</v>
          </cell>
          <cell r="R20">
            <v>8740</v>
          </cell>
        </row>
        <row r="22">
          <cell r="N22">
            <v>14552</v>
          </cell>
          <cell r="R22">
            <v>13961</v>
          </cell>
        </row>
        <row r="23">
          <cell r="N23">
            <v>1084</v>
          </cell>
          <cell r="R23">
            <v>1040</v>
          </cell>
        </row>
        <row r="26">
          <cell r="N26">
            <v>81250</v>
          </cell>
          <cell r="R26">
            <v>77948</v>
          </cell>
        </row>
        <row r="33">
          <cell r="N33">
            <v>268143</v>
          </cell>
          <cell r="R33">
            <v>257248</v>
          </cell>
          <cell r="T33">
            <v>368238</v>
          </cell>
        </row>
        <row r="41">
          <cell r="K41">
            <v>7004</v>
          </cell>
          <cell r="R41">
            <v>6719</v>
          </cell>
        </row>
        <row r="42">
          <cell r="N42">
            <v>6574</v>
          </cell>
          <cell r="R42">
            <v>6307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431330</v>
          </cell>
          <cell r="R12">
            <v>426450</v>
          </cell>
          <cell r="U12">
            <v>194865</v>
          </cell>
        </row>
        <row r="15">
          <cell r="N15">
            <v>212168</v>
          </cell>
          <cell r="R15">
            <v>209768</v>
          </cell>
          <cell r="T15">
            <v>212168</v>
          </cell>
        </row>
        <row r="17">
          <cell r="N17">
            <v>1059</v>
          </cell>
          <cell r="R17">
            <v>1047</v>
          </cell>
        </row>
        <row r="18">
          <cell r="N18">
            <v>67540</v>
          </cell>
          <cell r="R18">
            <v>66776</v>
          </cell>
          <cell r="T18">
            <v>67540</v>
          </cell>
        </row>
        <row r="19">
          <cell r="N19">
            <v>4493</v>
          </cell>
          <cell r="R19">
            <v>4442</v>
          </cell>
          <cell r="T19">
            <v>4493</v>
          </cell>
        </row>
        <row r="20">
          <cell r="N20">
            <v>19978</v>
          </cell>
          <cell r="R20">
            <v>19752</v>
          </cell>
          <cell r="T20">
            <v>19978</v>
          </cell>
        </row>
        <row r="22">
          <cell r="N22">
            <v>29897</v>
          </cell>
          <cell r="R22">
            <v>29559</v>
          </cell>
          <cell r="T22">
            <v>21784</v>
          </cell>
        </row>
        <row r="23">
          <cell r="N23">
            <v>47902</v>
          </cell>
          <cell r="R23">
            <v>47360</v>
          </cell>
          <cell r="T23">
            <v>32900</v>
          </cell>
        </row>
        <row r="24">
          <cell r="N24">
            <v>91535</v>
          </cell>
          <cell r="R24">
            <v>90500</v>
          </cell>
        </row>
        <row r="25">
          <cell r="N25">
            <v>305618</v>
          </cell>
          <cell r="R25">
            <v>302161</v>
          </cell>
        </row>
        <row r="26">
          <cell r="N26">
            <v>189752</v>
          </cell>
          <cell r="R26">
            <v>187605</v>
          </cell>
          <cell r="T26">
            <v>189752</v>
          </cell>
        </row>
        <row r="33">
          <cell r="N33">
            <v>500526</v>
          </cell>
          <cell r="R33">
            <v>494864</v>
          </cell>
          <cell r="T33">
            <v>619015</v>
          </cell>
        </row>
        <row r="41">
          <cell r="N41">
            <v>6660</v>
          </cell>
          <cell r="R41">
            <v>6585</v>
          </cell>
          <cell r="T41">
            <v>6660</v>
          </cell>
        </row>
        <row r="42">
          <cell r="N42">
            <v>13228</v>
          </cell>
          <cell r="R42">
            <v>13079</v>
          </cell>
          <cell r="T42">
            <v>13228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206398</v>
          </cell>
          <cell r="R12">
            <v>194453</v>
          </cell>
          <cell r="U12">
            <v>59121</v>
          </cell>
        </row>
        <row r="15">
          <cell r="N15">
            <v>126460</v>
          </cell>
          <cell r="R15">
            <v>119141</v>
          </cell>
          <cell r="T15">
            <v>126460</v>
          </cell>
        </row>
        <row r="18">
          <cell r="N18">
            <v>44547</v>
          </cell>
          <cell r="R18">
            <v>41969</v>
          </cell>
          <cell r="T18">
            <v>44547</v>
          </cell>
        </row>
        <row r="19">
          <cell r="N19">
            <v>4086</v>
          </cell>
          <cell r="R19">
            <v>3850</v>
          </cell>
          <cell r="T19">
            <v>4086</v>
          </cell>
        </row>
        <row r="20">
          <cell r="N20">
            <v>9330</v>
          </cell>
          <cell r="R20">
            <v>8790</v>
          </cell>
          <cell r="T20">
            <v>9330</v>
          </cell>
        </row>
        <row r="22">
          <cell r="N22">
            <v>14177</v>
          </cell>
          <cell r="R22">
            <v>13356</v>
          </cell>
          <cell r="T22">
            <v>16018</v>
          </cell>
        </row>
        <row r="26">
          <cell r="N26">
            <v>83017</v>
          </cell>
          <cell r="R26">
            <v>78212</v>
          </cell>
          <cell r="T26">
            <v>83017</v>
          </cell>
        </row>
        <row r="33">
          <cell r="N33">
            <v>313036</v>
          </cell>
          <cell r="R33">
            <v>294920</v>
          </cell>
          <cell r="T33">
            <v>421038</v>
          </cell>
        </row>
        <row r="41">
          <cell r="N41">
            <v>6966</v>
          </cell>
          <cell r="R41">
            <v>6563</v>
          </cell>
          <cell r="T41">
            <v>6966</v>
          </cell>
        </row>
        <row r="42">
          <cell r="N42">
            <v>6628</v>
          </cell>
          <cell r="R42">
            <v>6244</v>
          </cell>
          <cell r="T42">
            <v>6628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163610</v>
          </cell>
          <cell r="R12">
            <v>157043</v>
          </cell>
          <cell r="U12">
            <v>128466</v>
          </cell>
        </row>
        <row r="15">
          <cell r="N15">
            <v>100773</v>
          </cell>
          <cell r="R15">
            <v>96728</v>
          </cell>
          <cell r="T15">
            <v>100773</v>
          </cell>
        </row>
        <row r="18">
          <cell r="N18">
            <v>26009</v>
          </cell>
          <cell r="R18">
            <v>24965</v>
          </cell>
          <cell r="T18">
            <v>26009</v>
          </cell>
        </row>
        <row r="19">
          <cell r="N19">
            <v>1730</v>
          </cell>
          <cell r="R19">
            <v>1660</v>
          </cell>
          <cell r="T19">
            <v>1730</v>
          </cell>
        </row>
        <row r="20">
          <cell r="N20">
            <v>7692</v>
          </cell>
          <cell r="R20">
            <v>7384</v>
          </cell>
          <cell r="T20">
            <v>7692</v>
          </cell>
        </row>
        <row r="22">
          <cell r="N22">
            <v>11489</v>
          </cell>
          <cell r="R22">
            <v>11028</v>
          </cell>
          <cell r="T22">
            <v>37652</v>
          </cell>
        </row>
        <row r="23">
          <cell r="N23">
            <v>19135</v>
          </cell>
          <cell r="R23">
            <v>18367</v>
          </cell>
          <cell r="T23">
            <v>10449</v>
          </cell>
        </row>
        <row r="24">
          <cell r="N24">
            <v>35247</v>
          </cell>
          <cell r="R24">
            <v>33832</v>
          </cell>
          <cell r="T24">
            <v>35247</v>
          </cell>
        </row>
        <row r="25">
          <cell r="N25">
            <v>122081</v>
          </cell>
          <cell r="R25">
            <v>117181</v>
          </cell>
        </row>
        <row r="26">
          <cell r="N26">
            <v>73061</v>
          </cell>
          <cell r="R26">
            <v>70128</v>
          </cell>
          <cell r="T26">
            <v>73061</v>
          </cell>
        </row>
        <row r="33">
          <cell r="N33">
            <v>233146</v>
          </cell>
          <cell r="R33">
            <v>223788</v>
          </cell>
          <cell r="T33">
            <v>288417</v>
          </cell>
        </row>
        <row r="41">
          <cell r="N41">
            <v>2564</v>
          </cell>
          <cell r="R41">
            <v>2462</v>
          </cell>
          <cell r="T41">
            <v>2564</v>
          </cell>
        </row>
        <row r="42">
          <cell r="N42">
            <v>5096</v>
          </cell>
          <cell r="R42">
            <v>4891</v>
          </cell>
          <cell r="T42">
            <v>5096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259781</v>
          </cell>
          <cell r="R12">
            <v>255429</v>
          </cell>
          <cell r="U12">
            <v>85090</v>
          </cell>
        </row>
        <row r="15">
          <cell r="N15">
            <v>138300</v>
          </cell>
          <cell r="R15">
            <v>135983</v>
          </cell>
          <cell r="T15">
            <v>138300</v>
          </cell>
        </row>
        <row r="18">
          <cell r="N18">
            <v>41189</v>
          </cell>
          <cell r="R18">
            <v>40499</v>
          </cell>
          <cell r="T18">
            <v>41189</v>
          </cell>
        </row>
        <row r="19">
          <cell r="N19">
            <v>2740</v>
          </cell>
          <cell r="R19">
            <v>2694</v>
          </cell>
          <cell r="T19">
            <v>2740</v>
          </cell>
        </row>
        <row r="20">
          <cell r="N20">
            <v>12196</v>
          </cell>
          <cell r="R20">
            <v>11992</v>
          </cell>
          <cell r="T20">
            <v>12196</v>
          </cell>
        </row>
        <row r="22">
          <cell r="N22">
            <v>18553</v>
          </cell>
          <cell r="R22">
            <v>18242</v>
          </cell>
          <cell r="T22">
            <v>52730</v>
          </cell>
        </row>
        <row r="23">
          <cell r="N23">
            <v>28466</v>
          </cell>
          <cell r="R23">
            <v>27989</v>
          </cell>
          <cell r="T23">
            <v>11281</v>
          </cell>
        </row>
        <row r="24">
          <cell r="N24">
            <v>55858</v>
          </cell>
          <cell r="R24">
            <v>54923</v>
          </cell>
          <cell r="T24">
            <v>55858</v>
          </cell>
        </row>
        <row r="25">
          <cell r="N25">
            <v>181612</v>
          </cell>
          <cell r="R25">
            <v>178570</v>
          </cell>
        </row>
        <row r="26">
          <cell r="N26">
            <v>115862</v>
          </cell>
          <cell r="R26">
            <v>113921</v>
          </cell>
          <cell r="T26">
            <v>115862</v>
          </cell>
        </row>
        <row r="33">
          <cell r="N33">
            <v>282723</v>
          </cell>
          <cell r="R33">
            <v>277986</v>
          </cell>
          <cell r="T33">
            <v>308314</v>
          </cell>
        </row>
        <row r="36">
          <cell r="T36">
            <v>981236</v>
          </cell>
        </row>
        <row r="41">
          <cell r="N41">
            <v>4065</v>
          </cell>
          <cell r="R41">
            <v>3997</v>
          </cell>
          <cell r="T41">
            <v>4065</v>
          </cell>
        </row>
        <row r="42">
          <cell r="N42">
            <v>8046</v>
          </cell>
          <cell r="R42">
            <v>7911</v>
          </cell>
          <cell r="T42">
            <v>8046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268802</v>
          </cell>
          <cell r="R12">
            <v>266792</v>
          </cell>
          <cell r="U12">
            <v>215392</v>
          </cell>
        </row>
        <row r="15">
          <cell r="N15">
            <v>138487</v>
          </cell>
          <cell r="R15">
            <v>137451</v>
          </cell>
          <cell r="T15">
            <v>138487</v>
          </cell>
        </row>
        <row r="17">
          <cell r="N17">
            <v>70094</v>
          </cell>
          <cell r="R17">
            <v>69570</v>
          </cell>
        </row>
        <row r="18">
          <cell r="N18">
            <v>41558</v>
          </cell>
          <cell r="R18">
            <v>41248</v>
          </cell>
          <cell r="T18">
            <v>41558</v>
          </cell>
        </row>
        <row r="19">
          <cell r="N19">
            <v>2765</v>
          </cell>
          <cell r="R19">
            <v>2744</v>
          </cell>
          <cell r="T19">
            <v>2765</v>
          </cell>
        </row>
        <row r="20">
          <cell r="N20">
            <v>12298</v>
          </cell>
          <cell r="R20">
            <v>12206</v>
          </cell>
          <cell r="T20">
            <v>12298</v>
          </cell>
        </row>
        <row r="22">
          <cell r="N22">
            <v>18556</v>
          </cell>
          <cell r="R22">
            <v>18417</v>
          </cell>
          <cell r="T22">
            <v>40136</v>
          </cell>
        </row>
        <row r="23">
          <cell r="N23">
            <v>28777</v>
          </cell>
          <cell r="R23">
            <v>28562</v>
          </cell>
          <cell r="T23">
            <v>20664</v>
          </cell>
        </row>
        <row r="24">
          <cell r="N24">
            <v>55542</v>
          </cell>
          <cell r="R24">
            <v>55126</v>
          </cell>
          <cell r="T24">
            <v>55542</v>
          </cell>
        </row>
        <row r="25">
          <cell r="N25">
            <v>183600</v>
          </cell>
          <cell r="R25">
            <v>182227</v>
          </cell>
        </row>
        <row r="26">
          <cell r="N26">
            <v>116823</v>
          </cell>
          <cell r="R26">
            <v>115949</v>
          </cell>
          <cell r="T26">
            <v>116823</v>
          </cell>
        </row>
        <row r="33">
          <cell r="N33">
            <v>399883</v>
          </cell>
          <cell r="R33">
            <v>396893</v>
          </cell>
          <cell r="T33">
            <v>440958</v>
          </cell>
        </row>
        <row r="41">
          <cell r="N41">
            <v>4099</v>
          </cell>
          <cell r="R41">
            <v>4068</v>
          </cell>
          <cell r="T41">
            <v>4099</v>
          </cell>
        </row>
        <row r="42">
          <cell r="N42">
            <v>8129</v>
          </cell>
          <cell r="R42">
            <v>8069</v>
          </cell>
          <cell r="T42">
            <v>8129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565493</v>
          </cell>
          <cell r="R12">
            <v>560927</v>
          </cell>
          <cell r="U12">
            <v>642388</v>
          </cell>
        </row>
        <row r="15">
          <cell r="N15">
            <v>282281</v>
          </cell>
          <cell r="R15">
            <v>280002</v>
          </cell>
          <cell r="T15">
            <v>282281</v>
          </cell>
        </row>
        <row r="17">
          <cell r="N17">
            <v>85784</v>
          </cell>
          <cell r="R17">
            <v>85092</v>
          </cell>
        </row>
        <row r="18">
          <cell r="N18">
            <v>89529</v>
          </cell>
          <cell r="R18">
            <v>88806</v>
          </cell>
          <cell r="T18">
            <v>89529</v>
          </cell>
        </row>
        <row r="19">
          <cell r="N19">
            <v>5956</v>
          </cell>
          <cell r="R19">
            <v>5908</v>
          </cell>
          <cell r="T19">
            <v>5956</v>
          </cell>
        </row>
        <row r="20">
          <cell r="N20">
            <v>26489</v>
          </cell>
          <cell r="R20">
            <v>26275</v>
          </cell>
          <cell r="T20">
            <v>26489</v>
          </cell>
        </row>
        <row r="22">
          <cell r="N22">
            <v>39787</v>
          </cell>
          <cell r="R22">
            <v>39465</v>
          </cell>
          <cell r="T22">
            <v>4748</v>
          </cell>
        </row>
        <row r="23">
          <cell r="N23">
            <v>62613</v>
          </cell>
          <cell r="R23">
            <v>62107</v>
          </cell>
          <cell r="T23">
            <v>33009</v>
          </cell>
        </row>
        <row r="24">
          <cell r="N24">
            <v>120990</v>
          </cell>
          <cell r="R24">
            <v>120013</v>
          </cell>
          <cell r="T24">
            <v>120990</v>
          </cell>
        </row>
        <row r="25">
          <cell r="N25">
            <v>399474</v>
          </cell>
          <cell r="R25">
            <v>396249</v>
          </cell>
        </row>
        <row r="26">
          <cell r="N26">
            <v>251602</v>
          </cell>
          <cell r="R26">
            <v>249571</v>
          </cell>
          <cell r="T26">
            <v>251602</v>
          </cell>
        </row>
        <row r="33">
          <cell r="N33">
            <v>851070</v>
          </cell>
          <cell r="R33">
            <v>844198</v>
          </cell>
          <cell r="T33">
            <v>932717</v>
          </cell>
        </row>
        <row r="39">
          <cell r="N39">
            <v>674455</v>
          </cell>
          <cell r="R39">
            <v>669009</v>
          </cell>
          <cell r="T39">
            <v>464808</v>
          </cell>
        </row>
        <row r="41">
          <cell r="N41">
            <v>8830</v>
          </cell>
          <cell r="R41">
            <v>8759</v>
          </cell>
          <cell r="T41">
            <v>8830</v>
          </cell>
        </row>
        <row r="42">
          <cell r="N42">
            <v>17525</v>
          </cell>
          <cell r="R42">
            <v>17384</v>
          </cell>
          <cell r="T42">
            <v>17525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563473</v>
          </cell>
          <cell r="R12">
            <v>564601</v>
          </cell>
          <cell r="U12">
            <v>471803</v>
          </cell>
        </row>
        <row r="15">
          <cell r="N15">
            <v>266892</v>
          </cell>
          <cell r="R15">
            <v>267426</v>
          </cell>
          <cell r="T15">
            <v>266892</v>
          </cell>
        </row>
        <row r="18">
          <cell r="N18">
            <v>90116</v>
          </cell>
          <cell r="R18">
            <v>90297</v>
          </cell>
          <cell r="T18">
            <v>90116</v>
          </cell>
        </row>
        <row r="19">
          <cell r="N19">
            <v>5994</v>
          </cell>
          <cell r="R19">
            <v>6006</v>
          </cell>
          <cell r="T19">
            <v>5994</v>
          </cell>
        </row>
        <row r="20">
          <cell r="N20">
            <v>26675</v>
          </cell>
          <cell r="R20">
            <v>26729</v>
          </cell>
          <cell r="T20">
            <v>26675</v>
          </cell>
        </row>
        <row r="22">
          <cell r="N22">
            <v>40329</v>
          </cell>
          <cell r="R22">
            <v>40410</v>
          </cell>
          <cell r="T22">
            <v>93561</v>
          </cell>
        </row>
        <row r="23">
          <cell r="N23">
            <v>62396</v>
          </cell>
          <cell r="R23">
            <v>62521</v>
          </cell>
          <cell r="T23">
            <v>12532</v>
          </cell>
        </row>
        <row r="24">
          <cell r="N24">
            <v>122186</v>
          </cell>
          <cell r="R24">
            <v>122430</v>
          </cell>
        </row>
        <row r="25">
          <cell r="N25">
            <v>398093</v>
          </cell>
          <cell r="R25">
            <v>398890</v>
          </cell>
        </row>
        <row r="26">
          <cell r="N26">
            <v>253394</v>
          </cell>
          <cell r="R26">
            <v>253901</v>
          </cell>
          <cell r="T26">
            <v>253394</v>
          </cell>
        </row>
        <row r="33">
          <cell r="N33">
            <v>646560</v>
          </cell>
          <cell r="R33">
            <v>647854</v>
          </cell>
          <cell r="T33">
            <v>680763</v>
          </cell>
        </row>
        <row r="36">
          <cell r="T36">
            <v>2203191</v>
          </cell>
        </row>
        <row r="41">
          <cell r="N41">
            <v>8892</v>
          </cell>
          <cell r="R41">
            <v>8910</v>
          </cell>
          <cell r="T41">
            <v>8892</v>
          </cell>
        </row>
        <row r="42">
          <cell r="N42">
            <v>17619</v>
          </cell>
          <cell r="R42">
            <v>17654</v>
          </cell>
          <cell r="T42">
            <v>17619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400822</v>
          </cell>
          <cell r="R12">
            <v>388865</v>
          </cell>
          <cell r="U12">
            <v>104496</v>
          </cell>
        </row>
        <row r="15">
          <cell r="N15">
            <v>198118</v>
          </cell>
          <cell r="R15">
            <v>192208</v>
          </cell>
          <cell r="T15">
            <v>198118</v>
          </cell>
        </row>
        <row r="18">
          <cell r="N18">
            <v>62702</v>
          </cell>
          <cell r="R18">
            <v>60832</v>
          </cell>
          <cell r="T18">
            <v>62702</v>
          </cell>
        </row>
        <row r="19">
          <cell r="N19">
            <v>4171</v>
          </cell>
          <cell r="R19">
            <v>4046</v>
          </cell>
          <cell r="T19">
            <v>4171</v>
          </cell>
        </row>
        <row r="20">
          <cell r="N20">
            <v>18555</v>
          </cell>
          <cell r="R20">
            <v>18002</v>
          </cell>
          <cell r="T20">
            <v>18555</v>
          </cell>
        </row>
        <row r="22">
          <cell r="N22">
            <v>27975</v>
          </cell>
          <cell r="R22">
            <v>27141</v>
          </cell>
          <cell r="T22">
            <v>126814</v>
          </cell>
        </row>
        <row r="23">
          <cell r="N23">
            <v>44130</v>
          </cell>
          <cell r="R23">
            <v>42813</v>
          </cell>
          <cell r="T23">
            <v>12426</v>
          </cell>
        </row>
        <row r="24">
          <cell r="N24">
            <v>85003</v>
          </cell>
          <cell r="R24">
            <v>82468</v>
          </cell>
          <cell r="T24">
            <v>85003</v>
          </cell>
        </row>
        <row r="25">
          <cell r="N25">
            <v>281551</v>
          </cell>
          <cell r="R25">
            <v>273153</v>
          </cell>
        </row>
        <row r="26">
          <cell r="N26">
            <v>176254</v>
          </cell>
          <cell r="R26">
            <v>170996</v>
          </cell>
          <cell r="T26">
            <v>176254</v>
          </cell>
        </row>
        <row r="33">
          <cell r="N33">
            <v>453955</v>
          </cell>
          <cell r="R33">
            <v>440413</v>
          </cell>
          <cell r="T33">
            <v>589284</v>
          </cell>
        </row>
        <row r="41">
          <cell r="N41">
            <v>6186</v>
          </cell>
          <cell r="R41">
            <v>6001</v>
          </cell>
          <cell r="T41">
            <v>6186</v>
          </cell>
        </row>
        <row r="42">
          <cell r="N42">
            <v>12267</v>
          </cell>
          <cell r="R42">
            <v>11901</v>
          </cell>
          <cell r="T42">
            <v>12267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1856403</v>
          </cell>
          <cell r="R12">
            <v>1822536</v>
          </cell>
          <cell r="U12">
            <v>939256</v>
          </cell>
        </row>
        <row r="15">
          <cell r="N15">
            <v>921550</v>
          </cell>
          <cell r="R15">
            <v>904708</v>
          </cell>
        </row>
        <row r="17">
          <cell r="N17">
            <v>71848</v>
          </cell>
          <cell r="R17">
            <v>67654</v>
          </cell>
        </row>
        <row r="18">
          <cell r="N18">
            <v>289015</v>
          </cell>
          <cell r="R18">
            <v>283737</v>
          </cell>
        </row>
        <row r="19">
          <cell r="N19">
            <v>19269</v>
          </cell>
          <cell r="R19">
            <v>18917</v>
          </cell>
        </row>
        <row r="20">
          <cell r="N20">
            <v>86019</v>
          </cell>
          <cell r="R20">
            <v>84449</v>
          </cell>
        </row>
        <row r="22">
          <cell r="N22">
            <v>128853</v>
          </cell>
          <cell r="R22">
            <v>126551</v>
          </cell>
          <cell r="T22">
            <v>164353</v>
          </cell>
        </row>
        <row r="23">
          <cell r="N23">
            <v>199487</v>
          </cell>
          <cell r="R23">
            <v>195827</v>
          </cell>
          <cell r="T23">
            <v>134953</v>
          </cell>
        </row>
        <row r="24">
          <cell r="N24">
            <v>391219</v>
          </cell>
          <cell r="R24">
            <v>384086</v>
          </cell>
        </row>
        <row r="25">
          <cell r="N25">
            <v>1272739</v>
          </cell>
          <cell r="R25">
            <v>1249394</v>
          </cell>
        </row>
        <row r="26">
          <cell r="N26">
            <v>816726</v>
          </cell>
          <cell r="R26">
            <v>801821</v>
          </cell>
        </row>
        <row r="33">
          <cell r="N33">
            <v>2354139</v>
          </cell>
          <cell r="R33">
            <v>2314213</v>
          </cell>
          <cell r="T33">
            <v>3013339</v>
          </cell>
        </row>
        <row r="39">
          <cell r="N39">
            <v>29553</v>
          </cell>
          <cell r="R39">
            <v>29037</v>
          </cell>
        </row>
        <row r="41">
          <cell r="N41">
            <v>28547</v>
          </cell>
          <cell r="R41">
            <v>28030</v>
          </cell>
        </row>
        <row r="42">
          <cell r="N42">
            <v>56748</v>
          </cell>
          <cell r="R42">
            <v>55712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420418</v>
          </cell>
          <cell r="R12">
            <v>397392</v>
          </cell>
          <cell r="U12">
            <v>159771</v>
          </cell>
        </row>
        <row r="15">
          <cell r="N15">
            <v>211303</v>
          </cell>
          <cell r="R15">
            <v>199730</v>
          </cell>
          <cell r="T15">
            <v>211303</v>
          </cell>
        </row>
        <row r="17">
          <cell r="N17">
            <v>11821</v>
          </cell>
          <cell r="R17">
            <v>11174</v>
          </cell>
        </row>
        <row r="18">
          <cell r="N18">
            <v>94632</v>
          </cell>
          <cell r="R18">
            <v>89449</v>
          </cell>
          <cell r="T18">
            <v>94632</v>
          </cell>
        </row>
        <row r="19">
          <cell r="N19">
            <v>8730</v>
          </cell>
          <cell r="R19">
            <v>8252</v>
          </cell>
          <cell r="T19">
            <v>8730</v>
          </cell>
        </row>
        <row r="20">
          <cell r="N20">
            <v>19527</v>
          </cell>
          <cell r="R20">
            <v>18458</v>
          </cell>
          <cell r="T20">
            <v>19527</v>
          </cell>
        </row>
        <row r="22">
          <cell r="K22">
            <v>30778</v>
          </cell>
          <cell r="R22">
            <v>29092</v>
          </cell>
          <cell r="T22">
            <v>25614</v>
          </cell>
        </row>
        <row r="26">
          <cell r="N26">
            <v>174290</v>
          </cell>
          <cell r="R26">
            <v>164744</v>
          </cell>
          <cell r="T26">
            <v>174290</v>
          </cell>
        </row>
        <row r="33">
          <cell r="N33">
            <v>432688</v>
          </cell>
          <cell r="R33">
            <v>408990</v>
          </cell>
          <cell r="T33">
            <v>589590</v>
          </cell>
        </row>
        <row r="41">
          <cell r="N41">
            <v>14941</v>
          </cell>
          <cell r="R41">
            <v>14123</v>
          </cell>
          <cell r="T41">
            <v>14941</v>
          </cell>
        </row>
        <row r="42">
          <cell r="N42">
            <v>14083</v>
          </cell>
          <cell r="R42">
            <v>13312</v>
          </cell>
          <cell r="T42">
            <v>14083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269046</v>
          </cell>
          <cell r="R12">
            <v>271670</v>
          </cell>
          <cell r="U12">
            <v>159264</v>
          </cell>
        </row>
        <row r="15">
          <cell r="N15">
            <v>140029</v>
          </cell>
          <cell r="R15">
            <v>141395</v>
          </cell>
          <cell r="T15">
            <v>140029</v>
          </cell>
        </row>
        <row r="18">
          <cell r="N18">
            <v>40950</v>
          </cell>
          <cell r="R18">
            <v>41350</v>
          </cell>
          <cell r="T18">
            <v>40950</v>
          </cell>
        </row>
        <row r="19">
          <cell r="N19">
            <v>2724</v>
          </cell>
          <cell r="R19">
            <v>2751</v>
          </cell>
          <cell r="T19">
            <v>2724</v>
          </cell>
        </row>
        <row r="20">
          <cell r="N20">
            <v>12124</v>
          </cell>
          <cell r="R20">
            <v>12243</v>
          </cell>
          <cell r="T20">
            <v>12124</v>
          </cell>
        </row>
        <row r="22">
          <cell r="K22">
            <v>18499</v>
          </cell>
          <cell r="R22">
            <v>18679</v>
          </cell>
          <cell r="T22">
            <v>38672</v>
          </cell>
        </row>
        <row r="23">
          <cell r="K23">
            <v>28073</v>
          </cell>
          <cell r="R23">
            <v>28347</v>
          </cell>
          <cell r="T23">
            <v>24744</v>
          </cell>
        </row>
        <row r="24">
          <cell r="N24">
            <v>55530</v>
          </cell>
          <cell r="R24">
            <v>56072</v>
          </cell>
          <cell r="T24">
            <v>55530</v>
          </cell>
        </row>
        <row r="25">
          <cell r="N25">
            <v>179107</v>
          </cell>
          <cell r="R25">
            <v>180854</v>
          </cell>
          <cell r="T25">
            <v>179107</v>
          </cell>
        </row>
        <row r="26">
          <cell r="N26">
            <v>115173</v>
          </cell>
          <cell r="R26">
            <v>116296</v>
          </cell>
          <cell r="T26">
            <v>115173</v>
          </cell>
        </row>
        <row r="33">
          <cell r="N33">
            <v>396367</v>
          </cell>
          <cell r="R33">
            <v>400234</v>
          </cell>
          <cell r="T33">
            <v>446786</v>
          </cell>
        </row>
        <row r="36">
          <cell r="T36">
            <v>1153803</v>
          </cell>
        </row>
        <row r="41">
          <cell r="N41">
            <v>4042</v>
          </cell>
          <cell r="R41">
            <v>4081</v>
          </cell>
          <cell r="T41">
            <v>4042</v>
          </cell>
        </row>
        <row r="42">
          <cell r="N42">
            <v>8002</v>
          </cell>
          <cell r="R42">
            <v>8080</v>
          </cell>
          <cell r="T42">
            <v>8002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431994</v>
          </cell>
          <cell r="R12">
            <v>406251</v>
          </cell>
          <cell r="U12">
            <v>285424</v>
          </cell>
        </row>
        <row r="15">
          <cell r="N15">
            <v>272466</v>
          </cell>
          <cell r="R15">
            <v>256229</v>
          </cell>
          <cell r="T15">
            <v>272466</v>
          </cell>
        </row>
        <row r="18">
          <cell r="N18">
            <v>92361</v>
          </cell>
          <cell r="R18">
            <v>86857</v>
          </cell>
          <cell r="T18">
            <v>92361</v>
          </cell>
        </row>
        <row r="19">
          <cell r="N19">
            <v>8506</v>
          </cell>
          <cell r="R19">
            <v>7999</v>
          </cell>
          <cell r="T19">
            <v>8506</v>
          </cell>
        </row>
        <row r="20">
          <cell r="N20">
            <v>19213</v>
          </cell>
          <cell r="R20">
            <v>18068</v>
          </cell>
          <cell r="T20">
            <v>19213</v>
          </cell>
        </row>
        <row r="22">
          <cell r="K22">
            <v>30078</v>
          </cell>
          <cell r="R22">
            <v>28286</v>
          </cell>
          <cell r="T22">
            <v>34215</v>
          </cell>
        </row>
        <row r="26">
          <cell r="N26">
            <v>171086</v>
          </cell>
          <cell r="R26">
            <v>160890</v>
          </cell>
          <cell r="T26">
            <v>171086</v>
          </cell>
        </row>
        <row r="33">
          <cell r="N33">
            <v>703433</v>
          </cell>
          <cell r="R33">
            <v>661514</v>
          </cell>
          <cell r="T33">
            <v>945051</v>
          </cell>
        </row>
        <row r="36">
          <cell r="T36">
            <v>1892612</v>
          </cell>
        </row>
        <row r="41">
          <cell r="N41">
            <v>14522</v>
          </cell>
          <cell r="R41">
            <v>13657</v>
          </cell>
          <cell r="T41">
            <v>14522</v>
          </cell>
        </row>
        <row r="42">
          <cell r="N42">
            <v>13719</v>
          </cell>
          <cell r="R42">
            <v>12901</v>
          </cell>
          <cell r="T42">
            <v>13719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433336</v>
          </cell>
          <cell r="R12">
            <v>405945</v>
          </cell>
          <cell r="U12">
            <v>173900</v>
          </cell>
        </row>
        <row r="15">
          <cell r="N15">
            <v>213500</v>
          </cell>
          <cell r="R15">
            <v>200004</v>
          </cell>
          <cell r="T15">
            <v>213500</v>
          </cell>
        </row>
        <row r="18">
          <cell r="N18">
            <v>96224</v>
          </cell>
          <cell r="R18">
            <v>90142</v>
          </cell>
          <cell r="T18">
            <v>96224</v>
          </cell>
        </row>
        <row r="19">
          <cell r="N19">
            <v>8864</v>
          </cell>
          <cell r="R19">
            <v>8303</v>
          </cell>
          <cell r="T19">
            <v>8864</v>
          </cell>
        </row>
        <row r="20">
          <cell r="N20">
            <v>19881</v>
          </cell>
          <cell r="R20">
            <v>18624</v>
          </cell>
          <cell r="T20">
            <v>19881</v>
          </cell>
        </row>
        <row r="22">
          <cell r="K22">
            <v>30915</v>
          </cell>
          <cell r="R22">
            <v>28961</v>
          </cell>
          <cell r="T22">
            <v>30879</v>
          </cell>
        </row>
        <row r="26">
          <cell r="N26">
            <v>177262</v>
          </cell>
          <cell r="R26">
            <v>166057</v>
          </cell>
          <cell r="T26">
            <v>177262</v>
          </cell>
        </row>
        <row r="33">
          <cell r="N33">
            <v>558964</v>
          </cell>
          <cell r="R33">
            <v>523632</v>
          </cell>
          <cell r="T33">
            <v>715300</v>
          </cell>
        </row>
        <row r="36">
          <cell r="T36">
            <v>1838393</v>
          </cell>
        </row>
        <row r="41">
          <cell r="N41">
            <v>15170</v>
          </cell>
          <cell r="R41">
            <v>14211</v>
          </cell>
          <cell r="T41">
            <v>15170</v>
          </cell>
        </row>
        <row r="42">
          <cell r="N42">
            <v>14318</v>
          </cell>
          <cell r="R42">
            <v>13413</v>
          </cell>
          <cell r="T42">
            <v>14318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429652</v>
          </cell>
          <cell r="R12">
            <v>415078</v>
          </cell>
          <cell r="U12">
            <v>58822</v>
          </cell>
        </row>
        <row r="15">
          <cell r="N15">
            <v>236919</v>
          </cell>
          <cell r="R15">
            <v>228883</v>
          </cell>
          <cell r="T15">
            <v>236919</v>
          </cell>
        </row>
        <row r="18">
          <cell r="N18">
            <v>92644</v>
          </cell>
          <cell r="R18">
            <v>89501</v>
          </cell>
          <cell r="T18">
            <v>92644</v>
          </cell>
        </row>
        <row r="19">
          <cell r="N19">
            <v>8534</v>
          </cell>
          <cell r="R19">
            <v>8245</v>
          </cell>
          <cell r="T19">
            <v>8534</v>
          </cell>
        </row>
        <row r="20">
          <cell r="N20">
            <v>19247</v>
          </cell>
          <cell r="R20">
            <v>18594</v>
          </cell>
          <cell r="T20">
            <v>19247</v>
          </cell>
        </row>
        <row r="22">
          <cell r="K22">
            <v>30126</v>
          </cell>
          <cell r="R22">
            <v>29104</v>
          </cell>
          <cell r="T22">
            <v>20315</v>
          </cell>
        </row>
        <row r="26">
          <cell r="N26">
            <v>171429</v>
          </cell>
          <cell r="R26">
            <v>165614</v>
          </cell>
          <cell r="T26">
            <v>171429</v>
          </cell>
        </row>
        <row r="33">
          <cell r="N33">
            <v>590403</v>
          </cell>
          <cell r="R33">
            <v>570376</v>
          </cell>
          <cell r="T33">
            <v>821006</v>
          </cell>
        </row>
        <row r="36">
          <cell r="T36">
            <v>1990450</v>
          </cell>
        </row>
        <row r="41">
          <cell r="N41">
            <v>14577</v>
          </cell>
          <cell r="R41">
            <v>14083</v>
          </cell>
          <cell r="T41">
            <v>14577</v>
          </cell>
        </row>
        <row r="42">
          <cell r="N42">
            <v>13762</v>
          </cell>
          <cell r="R42">
            <v>13295</v>
          </cell>
          <cell r="T42">
            <v>13762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432542</v>
          </cell>
          <cell r="R12">
            <v>422903</v>
          </cell>
          <cell r="U12">
            <v>190629</v>
          </cell>
        </row>
        <row r="15">
          <cell r="N15">
            <v>233355</v>
          </cell>
          <cell r="R15">
            <v>228155</v>
          </cell>
          <cell r="T15">
            <v>233355</v>
          </cell>
        </row>
        <row r="18">
          <cell r="N18">
            <v>95008</v>
          </cell>
          <cell r="R18">
            <v>92891</v>
          </cell>
          <cell r="T18">
            <v>95008</v>
          </cell>
        </row>
        <row r="19">
          <cell r="N19">
            <v>8738</v>
          </cell>
          <cell r="R19">
            <v>8543</v>
          </cell>
          <cell r="T19">
            <v>8738</v>
          </cell>
        </row>
        <row r="20">
          <cell r="N20">
            <v>19698</v>
          </cell>
          <cell r="R20">
            <v>19259</v>
          </cell>
          <cell r="T20">
            <v>19698</v>
          </cell>
        </row>
        <row r="22">
          <cell r="K22">
            <v>30308</v>
          </cell>
          <cell r="R22">
            <v>29633</v>
          </cell>
          <cell r="T22">
            <v>32092</v>
          </cell>
        </row>
        <row r="26">
          <cell r="N26">
            <v>175549</v>
          </cell>
          <cell r="R26">
            <v>171637</v>
          </cell>
          <cell r="T26">
            <v>175549</v>
          </cell>
        </row>
        <row r="33">
          <cell r="N33">
            <v>565234</v>
          </cell>
          <cell r="R33">
            <v>552638</v>
          </cell>
          <cell r="T33">
            <v>733157</v>
          </cell>
        </row>
        <row r="36">
          <cell r="T36">
            <v>2072977</v>
          </cell>
        </row>
        <row r="41">
          <cell r="N41">
            <v>14942</v>
          </cell>
          <cell r="R41">
            <v>14609</v>
          </cell>
          <cell r="T41">
            <v>14942</v>
          </cell>
        </row>
        <row r="42">
          <cell r="N42">
            <v>14142</v>
          </cell>
          <cell r="R42">
            <v>13826</v>
          </cell>
          <cell r="T42">
            <v>14142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198147</v>
          </cell>
          <cell r="R12">
            <v>179485</v>
          </cell>
          <cell r="U12">
            <v>177352</v>
          </cell>
        </row>
        <row r="15">
          <cell r="N15">
            <v>106264</v>
          </cell>
          <cell r="R15">
            <v>96256</v>
          </cell>
          <cell r="T15">
            <v>106264</v>
          </cell>
        </row>
        <row r="18">
          <cell r="N18">
            <v>43787</v>
          </cell>
          <cell r="R18">
            <v>39663</v>
          </cell>
          <cell r="T18">
            <v>43787</v>
          </cell>
        </row>
        <row r="19">
          <cell r="N19">
            <v>4041</v>
          </cell>
          <cell r="R19">
            <v>3660</v>
          </cell>
          <cell r="T19">
            <v>4041</v>
          </cell>
        </row>
        <row r="20">
          <cell r="N20">
            <v>9040</v>
          </cell>
          <cell r="R20">
            <v>8189</v>
          </cell>
          <cell r="T20">
            <v>9040</v>
          </cell>
        </row>
        <row r="22">
          <cell r="K22">
            <v>14259</v>
          </cell>
          <cell r="R22">
            <v>12916</v>
          </cell>
          <cell r="T22">
            <v>20300</v>
          </cell>
        </row>
        <row r="26">
          <cell r="N26">
            <v>80598</v>
          </cell>
          <cell r="R26">
            <v>73007</v>
          </cell>
          <cell r="T26">
            <v>80598</v>
          </cell>
        </row>
        <row r="33">
          <cell r="N33">
            <v>268228</v>
          </cell>
          <cell r="R33">
            <v>242965</v>
          </cell>
          <cell r="T33">
            <v>350397</v>
          </cell>
        </row>
        <row r="36">
          <cell r="T36">
            <v>967294</v>
          </cell>
        </row>
        <row r="41">
          <cell r="N41">
            <v>6915</v>
          </cell>
          <cell r="R41">
            <v>6263</v>
          </cell>
          <cell r="T41">
            <v>6915</v>
          </cell>
        </row>
        <row r="42">
          <cell r="N42">
            <v>6508</v>
          </cell>
          <cell r="R42">
            <v>5895</v>
          </cell>
          <cell r="T42">
            <v>6508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436563</v>
          </cell>
          <cell r="R12">
            <v>422390</v>
          </cell>
          <cell r="U12">
            <v>57654</v>
          </cell>
        </row>
        <row r="15">
          <cell r="N15">
            <v>243240</v>
          </cell>
          <cell r="R15">
            <v>235343</v>
          </cell>
          <cell r="T15">
            <v>243240</v>
          </cell>
        </row>
        <row r="18">
          <cell r="N18">
            <v>95245</v>
          </cell>
          <cell r="R18">
            <v>92152</v>
          </cell>
          <cell r="T18">
            <v>95245</v>
          </cell>
        </row>
        <row r="19">
          <cell r="N19">
            <v>8749</v>
          </cell>
          <cell r="R19">
            <v>8465</v>
          </cell>
          <cell r="T19">
            <v>8749</v>
          </cell>
        </row>
        <row r="20">
          <cell r="N20">
            <v>19913</v>
          </cell>
          <cell r="R20">
            <v>19266</v>
          </cell>
          <cell r="T20">
            <v>19913</v>
          </cell>
        </row>
        <row r="22">
          <cell r="K22">
            <v>30568</v>
          </cell>
          <cell r="R22">
            <v>29575</v>
          </cell>
          <cell r="T22">
            <v>19151</v>
          </cell>
        </row>
        <row r="26">
          <cell r="N26">
            <v>177211</v>
          </cell>
          <cell r="R26">
            <v>171458</v>
          </cell>
          <cell r="T26">
            <v>177211</v>
          </cell>
        </row>
        <row r="33">
          <cell r="N33">
            <v>666055</v>
          </cell>
          <cell r="R33">
            <v>644431</v>
          </cell>
          <cell r="T33">
            <v>876070</v>
          </cell>
        </row>
        <row r="36">
          <cell r="T36">
            <v>2120105</v>
          </cell>
        </row>
        <row r="41">
          <cell r="N41">
            <v>14921</v>
          </cell>
          <cell r="R41">
            <v>14436</v>
          </cell>
          <cell r="T41">
            <v>14921</v>
          </cell>
        </row>
        <row r="42">
          <cell r="N42">
            <v>14158</v>
          </cell>
          <cell r="R42">
            <v>13698</v>
          </cell>
          <cell r="T42">
            <v>14158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442828</v>
          </cell>
          <cell r="R12">
            <v>405537</v>
          </cell>
          <cell r="U12">
            <v>146397</v>
          </cell>
        </row>
        <row r="15">
          <cell r="N15">
            <v>268937</v>
          </cell>
          <cell r="R15">
            <v>246289</v>
          </cell>
          <cell r="T15">
            <v>268937</v>
          </cell>
        </row>
        <row r="18">
          <cell r="N18">
            <v>95289</v>
          </cell>
          <cell r="R18">
            <v>87265</v>
          </cell>
          <cell r="T18">
            <v>95289</v>
          </cell>
        </row>
        <row r="19">
          <cell r="N19">
            <v>8764</v>
          </cell>
          <cell r="R19">
            <v>8026</v>
          </cell>
          <cell r="T19">
            <v>8764</v>
          </cell>
        </row>
        <row r="20">
          <cell r="N20">
            <v>19836</v>
          </cell>
          <cell r="R20">
            <v>18166</v>
          </cell>
          <cell r="T20">
            <v>19836</v>
          </cell>
        </row>
        <row r="22">
          <cell r="K22">
            <v>30638</v>
          </cell>
          <cell r="R22">
            <v>28058</v>
          </cell>
          <cell r="T22">
            <v>16356</v>
          </cell>
        </row>
        <row r="26">
          <cell r="N26">
            <v>176642</v>
          </cell>
          <cell r="R26">
            <v>161767</v>
          </cell>
          <cell r="T26">
            <v>176642</v>
          </cell>
        </row>
        <row r="33">
          <cell r="N33">
            <v>618675</v>
          </cell>
          <cell r="R33">
            <v>566576</v>
          </cell>
          <cell r="T33">
            <v>866041</v>
          </cell>
        </row>
        <row r="41">
          <cell r="N41">
            <v>14965</v>
          </cell>
          <cell r="R41">
            <v>13705</v>
          </cell>
          <cell r="T41">
            <v>14965</v>
          </cell>
        </row>
        <row r="42">
          <cell r="N42">
            <v>14171</v>
          </cell>
          <cell r="R42">
            <v>12978</v>
          </cell>
          <cell r="T42">
            <v>14171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229275</v>
          </cell>
          <cell r="R12">
            <v>212427</v>
          </cell>
          <cell r="U12">
            <v>111028</v>
          </cell>
        </row>
        <row r="15">
          <cell r="N15">
            <v>188268</v>
          </cell>
          <cell r="R15">
            <v>174434</v>
          </cell>
          <cell r="T15">
            <v>188268</v>
          </cell>
        </row>
        <row r="17">
          <cell r="N17">
            <v>62549</v>
          </cell>
          <cell r="R17">
            <v>57952</v>
          </cell>
        </row>
        <row r="18">
          <cell r="N18">
            <v>37085</v>
          </cell>
          <cell r="R18">
            <v>34360</v>
          </cell>
          <cell r="T18">
            <v>37085</v>
          </cell>
        </row>
        <row r="19">
          <cell r="N19">
            <v>2466</v>
          </cell>
          <cell r="R19">
            <v>2285</v>
          </cell>
          <cell r="T19">
            <v>2466</v>
          </cell>
        </row>
        <row r="20">
          <cell r="N20">
            <v>10974</v>
          </cell>
          <cell r="R20">
            <v>10168</v>
          </cell>
          <cell r="T20">
            <v>10974</v>
          </cell>
        </row>
        <row r="22">
          <cell r="N22">
            <v>16555</v>
          </cell>
          <cell r="R22">
            <v>15339</v>
          </cell>
          <cell r="T22">
            <v>40132</v>
          </cell>
        </row>
        <row r="23">
          <cell r="N23">
            <v>29288</v>
          </cell>
          <cell r="R23">
            <v>27135</v>
          </cell>
          <cell r="T23">
            <v>8745</v>
          </cell>
        </row>
        <row r="24">
          <cell r="N24">
            <v>50275</v>
          </cell>
          <cell r="R24">
            <v>46581</v>
          </cell>
        </row>
        <row r="25">
          <cell r="N25">
            <v>186857</v>
          </cell>
          <cell r="R25">
            <v>173126</v>
          </cell>
        </row>
        <row r="26">
          <cell r="N26">
            <v>104245</v>
          </cell>
          <cell r="R26">
            <v>96585</v>
          </cell>
          <cell r="T26">
            <v>104245</v>
          </cell>
        </row>
        <row r="33">
          <cell r="N33">
            <v>286705</v>
          </cell>
          <cell r="R33">
            <v>265638</v>
          </cell>
          <cell r="T33">
            <v>294563</v>
          </cell>
        </row>
        <row r="36">
          <cell r="T36">
            <v>877480</v>
          </cell>
        </row>
        <row r="41">
          <cell r="N41">
            <v>3658</v>
          </cell>
          <cell r="R41">
            <v>3390</v>
          </cell>
          <cell r="T41">
            <v>3658</v>
          </cell>
        </row>
        <row r="42">
          <cell r="N42">
            <v>7255</v>
          </cell>
          <cell r="R42">
            <v>6722</v>
          </cell>
          <cell r="T42">
            <v>7255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204028</v>
          </cell>
          <cell r="R12">
            <v>212392</v>
          </cell>
          <cell r="U12">
            <v>223014</v>
          </cell>
        </row>
        <row r="15">
          <cell r="N15">
            <v>121859</v>
          </cell>
          <cell r="R15">
            <v>126854</v>
          </cell>
          <cell r="T15">
            <v>121859</v>
          </cell>
        </row>
        <row r="18">
          <cell r="N18">
            <v>44321</v>
          </cell>
          <cell r="R18">
            <v>46138</v>
          </cell>
          <cell r="T18">
            <v>44321</v>
          </cell>
        </row>
        <row r="19">
          <cell r="N19">
            <v>4082</v>
          </cell>
          <cell r="R19">
            <v>4249</v>
          </cell>
          <cell r="T19">
            <v>4082</v>
          </cell>
        </row>
        <row r="20">
          <cell r="N20">
            <v>9239</v>
          </cell>
          <cell r="R20">
            <v>9618</v>
          </cell>
          <cell r="T20">
            <v>9239</v>
          </cell>
        </row>
        <row r="22">
          <cell r="K22">
            <v>14519</v>
          </cell>
          <cell r="R22">
            <v>15114</v>
          </cell>
          <cell r="T22">
            <v>22895</v>
          </cell>
        </row>
        <row r="26">
          <cell r="N26">
            <v>82241</v>
          </cell>
          <cell r="R26">
            <v>85613</v>
          </cell>
          <cell r="T26">
            <v>82241</v>
          </cell>
        </row>
        <row r="33">
          <cell r="N33">
            <v>286642</v>
          </cell>
          <cell r="R33">
            <v>298393</v>
          </cell>
          <cell r="T33">
            <v>453969</v>
          </cell>
        </row>
        <row r="36">
          <cell r="T36">
            <v>761103</v>
          </cell>
        </row>
        <row r="41">
          <cell r="N41">
            <v>6964</v>
          </cell>
          <cell r="R41">
            <v>7249</v>
          </cell>
          <cell r="T41">
            <v>6964</v>
          </cell>
        </row>
        <row r="42">
          <cell r="N42">
            <v>6578</v>
          </cell>
          <cell r="R42">
            <v>6848</v>
          </cell>
          <cell r="T42">
            <v>6578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514729</v>
          </cell>
          <cell r="R12">
            <v>522313</v>
          </cell>
          <cell r="U12">
            <v>710657</v>
          </cell>
        </row>
        <row r="15">
          <cell r="N15">
            <v>239061</v>
          </cell>
          <cell r="R15">
            <v>242583</v>
          </cell>
          <cell r="T15">
            <v>239061</v>
          </cell>
        </row>
        <row r="18">
          <cell r="N18">
            <v>91360</v>
          </cell>
          <cell r="R18">
            <v>92706</v>
          </cell>
          <cell r="T18">
            <v>91360</v>
          </cell>
        </row>
        <row r="19">
          <cell r="N19">
            <v>8324</v>
          </cell>
          <cell r="R19">
            <v>8447</v>
          </cell>
          <cell r="T19">
            <v>8324</v>
          </cell>
        </row>
        <row r="20">
          <cell r="N20">
            <v>18736</v>
          </cell>
          <cell r="R20">
            <v>19012</v>
          </cell>
          <cell r="T20">
            <v>18736</v>
          </cell>
        </row>
        <row r="22">
          <cell r="K22">
            <v>29201</v>
          </cell>
          <cell r="R22">
            <v>29631</v>
          </cell>
          <cell r="T22">
            <v>32873</v>
          </cell>
        </row>
        <row r="26">
          <cell r="N26">
            <v>168127</v>
          </cell>
          <cell r="R26">
            <v>170604</v>
          </cell>
          <cell r="T26">
            <v>168127</v>
          </cell>
        </row>
        <row r="33">
          <cell r="N33">
            <v>620644</v>
          </cell>
          <cell r="R33">
            <v>629788</v>
          </cell>
          <cell r="T33">
            <v>851429</v>
          </cell>
        </row>
        <row r="36">
          <cell r="T36">
            <v>1942705</v>
          </cell>
        </row>
        <row r="41">
          <cell r="N41">
            <v>14331</v>
          </cell>
          <cell r="R41">
            <v>14542</v>
          </cell>
          <cell r="T41">
            <v>14331</v>
          </cell>
        </row>
        <row r="42">
          <cell r="N42">
            <v>13448</v>
          </cell>
          <cell r="R42">
            <v>13646</v>
          </cell>
          <cell r="T42">
            <v>13448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198697</v>
          </cell>
          <cell r="R12">
            <v>200767</v>
          </cell>
          <cell r="U12">
            <v>257148</v>
          </cell>
        </row>
        <row r="15">
          <cell r="N15">
            <v>95336</v>
          </cell>
          <cell r="R15">
            <v>96329</v>
          </cell>
          <cell r="T15">
            <v>95336</v>
          </cell>
        </row>
        <row r="18">
          <cell r="N18">
            <v>44420</v>
          </cell>
          <cell r="R18">
            <v>44882</v>
          </cell>
          <cell r="T18">
            <v>44420</v>
          </cell>
        </row>
        <row r="19">
          <cell r="N19">
            <v>4102</v>
          </cell>
          <cell r="R19">
            <v>4145</v>
          </cell>
          <cell r="T19">
            <v>4102</v>
          </cell>
        </row>
        <row r="20">
          <cell r="N20">
            <v>9135</v>
          </cell>
          <cell r="R20">
            <v>9231</v>
          </cell>
          <cell r="T20">
            <v>9135</v>
          </cell>
        </row>
        <row r="22">
          <cell r="K22">
            <v>14524</v>
          </cell>
          <cell r="R22">
            <v>14676</v>
          </cell>
          <cell r="T22">
            <v>22322</v>
          </cell>
        </row>
        <row r="26">
          <cell r="N26">
            <v>81497</v>
          </cell>
          <cell r="R26">
            <v>82345</v>
          </cell>
          <cell r="T26">
            <v>81497</v>
          </cell>
        </row>
        <row r="33">
          <cell r="N33">
            <v>212811</v>
          </cell>
          <cell r="R33">
            <v>215028</v>
          </cell>
          <cell r="T33">
            <v>279236</v>
          </cell>
        </row>
        <row r="41">
          <cell r="N41">
            <v>7027</v>
          </cell>
          <cell r="R41">
            <v>7101</v>
          </cell>
          <cell r="T41">
            <v>7027</v>
          </cell>
        </row>
        <row r="42">
          <cell r="N42">
            <v>6603</v>
          </cell>
          <cell r="R42">
            <v>6672</v>
          </cell>
          <cell r="T42">
            <v>6603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432037</v>
          </cell>
          <cell r="R12">
            <v>425690</v>
          </cell>
          <cell r="U12">
            <v>273081</v>
          </cell>
        </row>
        <row r="15">
          <cell r="N15">
            <v>244969</v>
          </cell>
          <cell r="R15">
            <v>241370</v>
          </cell>
          <cell r="T15">
            <v>244969</v>
          </cell>
        </row>
        <row r="18">
          <cell r="N18">
            <v>95438</v>
          </cell>
          <cell r="R18">
            <v>94036</v>
          </cell>
          <cell r="T18">
            <v>95438</v>
          </cell>
        </row>
        <row r="19">
          <cell r="N19">
            <v>8805</v>
          </cell>
          <cell r="R19">
            <v>8676</v>
          </cell>
          <cell r="T19">
            <v>8805</v>
          </cell>
        </row>
        <row r="20">
          <cell r="N20">
            <v>19608</v>
          </cell>
          <cell r="R20">
            <v>19320</v>
          </cell>
          <cell r="T20">
            <v>19608</v>
          </cell>
        </row>
        <row r="22">
          <cell r="K22">
            <v>30699</v>
          </cell>
          <cell r="R22">
            <v>30248</v>
          </cell>
          <cell r="T22">
            <v>27958</v>
          </cell>
        </row>
        <row r="26">
          <cell r="N26">
            <v>172805</v>
          </cell>
          <cell r="R26">
            <v>170266</v>
          </cell>
          <cell r="T26">
            <v>172805</v>
          </cell>
        </row>
        <row r="33">
          <cell r="N33">
            <v>584585</v>
          </cell>
          <cell r="R33">
            <v>575996</v>
          </cell>
          <cell r="T33">
            <v>750863</v>
          </cell>
        </row>
        <row r="36">
          <cell r="T36">
            <v>1860389</v>
          </cell>
        </row>
        <row r="41">
          <cell r="N41">
            <v>15094</v>
          </cell>
          <cell r="R41">
            <v>14872</v>
          </cell>
          <cell r="T41">
            <v>15094</v>
          </cell>
        </row>
        <row r="42">
          <cell r="N42">
            <v>14203</v>
          </cell>
          <cell r="R42">
            <v>13995</v>
          </cell>
          <cell r="T42">
            <v>14203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199172</v>
          </cell>
          <cell r="R12">
            <v>200405</v>
          </cell>
          <cell r="U12">
            <v>159193</v>
          </cell>
        </row>
        <row r="15">
          <cell r="N15">
            <v>108778</v>
          </cell>
          <cell r="R15">
            <v>109452</v>
          </cell>
          <cell r="T15">
            <v>108778</v>
          </cell>
        </row>
        <row r="18">
          <cell r="N18">
            <v>43446</v>
          </cell>
          <cell r="R18">
            <v>43715</v>
          </cell>
          <cell r="T18">
            <v>43446</v>
          </cell>
        </row>
        <row r="19">
          <cell r="N19">
            <v>3995</v>
          </cell>
          <cell r="R19">
            <v>4020</v>
          </cell>
          <cell r="T19">
            <v>3995</v>
          </cell>
        </row>
        <row r="20">
          <cell r="N20">
            <v>9103</v>
          </cell>
          <cell r="R20">
            <v>9159</v>
          </cell>
          <cell r="T20">
            <v>9103</v>
          </cell>
        </row>
        <row r="22">
          <cell r="K22">
            <v>14213</v>
          </cell>
          <cell r="R22">
            <v>14301</v>
          </cell>
          <cell r="T22">
            <v>18525</v>
          </cell>
        </row>
        <row r="26">
          <cell r="N26">
            <v>80959</v>
          </cell>
          <cell r="R26">
            <v>81460</v>
          </cell>
          <cell r="T26">
            <v>80959</v>
          </cell>
        </row>
        <row r="33">
          <cell r="N33">
            <v>214059</v>
          </cell>
          <cell r="R33">
            <v>215385</v>
          </cell>
          <cell r="T33">
            <v>309659</v>
          </cell>
        </row>
        <row r="36">
          <cell r="T36">
            <v>899028</v>
          </cell>
        </row>
        <row r="41">
          <cell r="N41">
            <v>6807</v>
          </cell>
          <cell r="R41">
            <v>6850</v>
          </cell>
          <cell r="T41">
            <v>6807</v>
          </cell>
        </row>
        <row r="42">
          <cell r="N42">
            <v>6457</v>
          </cell>
          <cell r="R42">
            <v>6497</v>
          </cell>
          <cell r="T42">
            <v>6457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431624</v>
          </cell>
          <cell r="R12">
            <v>414718</v>
          </cell>
          <cell r="U12">
            <v>196927</v>
          </cell>
        </row>
        <row r="15">
          <cell r="N15">
            <v>254470</v>
          </cell>
          <cell r="R15">
            <v>244503</v>
          </cell>
          <cell r="T15">
            <v>254470</v>
          </cell>
        </row>
        <row r="18">
          <cell r="N18">
            <v>94063</v>
          </cell>
          <cell r="R18">
            <v>90379</v>
          </cell>
          <cell r="T18">
            <v>94063</v>
          </cell>
        </row>
        <row r="19">
          <cell r="N19">
            <v>8677</v>
          </cell>
          <cell r="R19">
            <v>8337</v>
          </cell>
          <cell r="T19">
            <v>8677</v>
          </cell>
        </row>
        <row r="20">
          <cell r="N20">
            <v>19409</v>
          </cell>
          <cell r="R20">
            <v>18648</v>
          </cell>
          <cell r="T20">
            <v>19409</v>
          </cell>
        </row>
        <row r="22">
          <cell r="K22">
            <v>30488</v>
          </cell>
          <cell r="R22">
            <v>29294</v>
          </cell>
          <cell r="T22">
            <v>27559</v>
          </cell>
        </row>
        <row r="26">
          <cell r="N26">
            <v>173062</v>
          </cell>
          <cell r="R26">
            <v>166284</v>
          </cell>
          <cell r="T26">
            <v>173062</v>
          </cell>
        </row>
        <row r="33">
          <cell r="N33">
            <v>631561</v>
          </cell>
          <cell r="R33">
            <v>606825</v>
          </cell>
          <cell r="T33">
            <v>854452</v>
          </cell>
        </row>
        <row r="36">
          <cell r="T36">
            <v>2026502</v>
          </cell>
        </row>
        <row r="41">
          <cell r="N41">
            <v>14852</v>
          </cell>
          <cell r="R41">
            <v>14270</v>
          </cell>
          <cell r="T41">
            <v>14852</v>
          </cell>
        </row>
        <row r="42">
          <cell r="N42">
            <v>13984</v>
          </cell>
          <cell r="R42">
            <v>13436</v>
          </cell>
          <cell r="T42">
            <v>13984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200968</v>
          </cell>
          <cell r="R12">
            <v>198764</v>
          </cell>
          <cell r="U12">
            <v>307408</v>
          </cell>
        </row>
        <row r="15">
          <cell r="N15">
            <v>101268</v>
          </cell>
          <cell r="R15">
            <v>100158</v>
          </cell>
          <cell r="T15">
            <v>101268</v>
          </cell>
        </row>
        <row r="18">
          <cell r="N18">
            <v>44110</v>
          </cell>
          <cell r="R18">
            <v>43626</v>
          </cell>
          <cell r="T18">
            <v>44110</v>
          </cell>
        </row>
        <row r="19">
          <cell r="N19">
            <v>4076</v>
          </cell>
          <cell r="R19">
            <v>4032</v>
          </cell>
          <cell r="T19">
            <v>4076</v>
          </cell>
        </row>
        <row r="20">
          <cell r="N20">
            <v>9079</v>
          </cell>
          <cell r="R20">
            <v>8980</v>
          </cell>
          <cell r="T20">
            <v>9079</v>
          </cell>
        </row>
        <row r="22">
          <cell r="K22">
            <v>14519</v>
          </cell>
          <cell r="R22">
            <v>14360</v>
          </cell>
          <cell r="T22">
            <v>22409</v>
          </cell>
        </row>
        <row r="26">
          <cell r="N26">
            <v>80977</v>
          </cell>
          <cell r="R26">
            <v>80089</v>
          </cell>
          <cell r="T26">
            <v>80977</v>
          </cell>
        </row>
        <row r="33">
          <cell r="N33">
            <v>252049</v>
          </cell>
          <cell r="R33">
            <v>249284</v>
          </cell>
          <cell r="T33">
            <v>320536</v>
          </cell>
        </row>
        <row r="36">
          <cell r="T36">
            <v>913043</v>
          </cell>
        </row>
        <row r="41">
          <cell r="N41">
            <v>6981</v>
          </cell>
          <cell r="R41">
            <v>6905</v>
          </cell>
          <cell r="T41">
            <v>6981</v>
          </cell>
        </row>
        <row r="42">
          <cell r="N42">
            <v>6551</v>
          </cell>
          <cell r="R42">
            <v>6479</v>
          </cell>
          <cell r="T42">
            <v>6551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436456</v>
          </cell>
          <cell r="R12">
            <v>407922</v>
          </cell>
          <cell r="U12">
            <v>254365</v>
          </cell>
        </row>
        <row r="15">
          <cell r="N15">
            <v>351177</v>
          </cell>
          <cell r="R15">
            <v>328218</v>
          </cell>
          <cell r="T15">
            <v>351177</v>
          </cell>
        </row>
        <row r="18">
          <cell r="N18">
            <v>94139</v>
          </cell>
          <cell r="R18">
            <v>87984</v>
          </cell>
          <cell r="T18">
            <v>94139</v>
          </cell>
        </row>
        <row r="19">
          <cell r="N19">
            <v>8638</v>
          </cell>
          <cell r="R19">
            <v>8073</v>
          </cell>
          <cell r="T19">
            <v>8638</v>
          </cell>
        </row>
        <row r="20">
          <cell r="N20">
            <v>19733</v>
          </cell>
          <cell r="R20">
            <v>18443</v>
          </cell>
          <cell r="T20">
            <v>19733</v>
          </cell>
        </row>
        <row r="22">
          <cell r="K22">
            <v>30094</v>
          </cell>
          <cell r="R22">
            <v>28127</v>
          </cell>
          <cell r="T22">
            <v>30580</v>
          </cell>
        </row>
        <row r="26">
          <cell r="N26">
            <v>175547</v>
          </cell>
          <cell r="R26">
            <v>164070</v>
          </cell>
          <cell r="T26">
            <v>175547</v>
          </cell>
        </row>
        <row r="33">
          <cell r="N33">
            <v>844794</v>
          </cell>
          <cell r="R33">
            <v>789564</v>
          </cell>
          <cell r="T33">
            <v>1186924</v>
          </cell>
        </row>
        <row r="36">
          <cell r="T36">
            <v>2102402</v>
          </cell>
        </row>
        <row r="41">
          <cell r="N41">
            <v>14721</v>
          </cell>
          <cell r="R41">
            <v>13759</v>
          </cell>
          <cell r="T41">
            <v>14721</v>
          </cell>
        </row>
        <row r="42">
          <cell r="N42">
            <v>14005</v>
          </cell>
          <cell r="R42">
            <v>13089</v>
          </cell>
          <cell r="T42">
            <v>14005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201370</v>
          </cell>
          <cell r="R12">
            <v>182962</v>
          </cell>
          <cell r="U12">
            <v>258181</v>
          </cell>
        </row>
        <row r="15">
          <cell r="N15">
            <v>98446</v>
          </cell>
          <cell r="R15">
            <v>89447</v>
          </cell>
          <cell r="T15">
            <v>98446</v>
          </cell>
        </row>
        <row r="18">
          <cell r="N18">
            <v>44872</v>
          </cell>
          <cell r="R18">
            <v>40770</v>
          </cell>
          <cell r="T18">
            <v>44872</v>
          </cell>
        </row>
        <row r="19">
          <cell r="N19">
            <v>4133</v>
          </cell>
          <cell r="R19">
            <v>3755</v>
          </cell>
          <cell r="T19">
            <v>4133</v>
          </cell>
        </row>
        <row r="20">
          <cell r="N20">
            <v>9297</v>
          </cell>
          <cell r="R20">
            <v>8447</v>
          </cell>
          <cell r="T20">
            <v>9297</v>
          </cell>
        </row>
        <row r="22">
          <cell r="K22">
            <v>14487</v>
          </cell>
          <cell r="R22">
            <v>13163</v>
          </cell>
          <cell r="T22">
            <v>22601</v>
          </cell>
        </row>
        <row r="26">
          <cell r="N26">
            <v>82850</v>
          </cell>
          <cell r="R26">
            <v>75276</v>
          </cell>
          <cell r="T26">
            <v>82850</v>
          </cell>
        </row>
        <row r="33">
          <cell r="N33">
            <v>267048</v>
          </cell>
          <cell r="R33">
            <v>242637</v>
          </cell>
          <cell r="T33">
            <v>361760</v>
          </cell>
        </row>
        <row r="36">
          <cell r="T36">
            <v>910736</v>
          </cell>
        </row>
        <row r="41">
          <cell r="N41">
            <v>7066</v>
          </cell>
          <cell r="R41">
            <v>6420</v>
          </cell>
          <cell r="T41">
            <v>7066</v>
          </cell>
        </row>
        <row r="42">
          <cell r="N42">
            <v>6672</v>
          </cell>
          <cell r="R42">
            <v>6062</v>
          </cell>
          <cell r="T42">
            <v>6672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215685</v>
          </cell>
          <cell r="R12">
            <v>201104</v>
          </cell>
          <cell r="U12">
            <v>34308</v>
          </cell>
        </row>
        <row r="15">
          <cell r="N15">
            <v>122583</v>
          </cell>
          <cell r="R15">
            <v>114297</v>
          </cell>
          <cell r="T15">
            <v>122583</v>
          </cell>
        </row>
        <row r="18">
          <cell r="N18">
            <v>44888</v>
          </cell>
          <cell r="R18">
            <v>41854</v>
          </cell>
          <cell r="T18">
            <v>44888</v>
          </cell>
        </row>
        <row r="19">
          <cell r="N19">
            <v>4141</v>
          </cell>
          <cell r="R19">
            <v>3861</v>
          </cell>
          <cell r="T19">
            <v>4141</v>
          </cell>
        </row>
        <row r="20">
          <cell r="N20">
            <v>9222</v>
          </cell>
          <cell r="R20">
            <v>8598</v>
          </cell>
          <cell r="T20">
            <v>9222</v>
          </cell>
        </row>
        <row r="22">
          <cell r="K22">
            <v>14414</v>
          </cell>
          <cell r="R22">
            <v>13440</v>
          </cell>
          <cell r="T22">
            <v>21017</v>
          </cell>
        </row>
        <row r="26">
          <cell r="N26">
            <v>82297</v>
          </cell>
          <cell r="R26">
            <v>76734</v>
          </cell>
          <cell r="T26">
            <v>82297</v>
          </cell>
        </row>
        <row r="33">
          <cell r="N33">
            <v>254468</v>
          </cell>
          <cell r="R33">
            <v>237265</v>
          </cell>
          <cell r="T33">
            <v>365869</v>
          </cell>
        </row>
        <row r="36">
          <cell r="T36">
            <v>919873</v>
          </cell>
        </row>
        <row r="41">
          <cell r="N41">
            <v>7099</v>
          </cell>
          <cell r="R41">
            <v>6619</v>
          </cell>
          <cell r="T41">
            <v>7099</v>
          </cell>
        </row>
        <row r="42">
          <cell r="N42">
            <v>6681</v>
          </cell>
          <cell r="R42">
            <v>6229</v>
          </cell>
          <cell r="T42">
            <v>6681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436815</v>
          </cell>
          <cell r="R12">
            <v>424537</v>
          </cell>
          <cell r="U12">
            <v>188280</v>
          </cell>
        </row>
        <row r="15">
          <cell r="N15">
            <v>263683</v>
          </cell>
          <cell r="R15">
            <v>256272</v>
          </cell>
          <cell r="T15">
            <v>263683</v>
          </cell>
        </row>
        <row r="18">
          <cell r="N18">
            <v>94667</v>
          </cell>
          <cell r="R18">
            <v>92007</v>
          </cell>
          <cell r="T18">
            <v>94667</v>
          </cell>
        </row>
        <row r="19">
          <cell r="N19">
            <v>8698</v>
          </cell>
          <cell r="R19">
            <v>8454</v>
          </cell>
          <cell r="T19">
            <v>8698</v>
          </cell>
        </row>
        <row r="20">
          <cell r="N20">
            <v>19787</v>
          </cell>
          <cell r="R20">
            <v>19231</v>
          </cell>
          <cell r="T20">
            <v>19787</v>
          </cell>
        </row>
        <row r="22">
          <cell r="K22">
            <v>30342</v>
          </cell>
          <cell r="R22">
            <v>29490</v>
          </cell>
          <cell r="T22">
            <v>30544</v>
          </cell>
        </row>
        <row r="26">
          <cell r="N26">
            <v>176099</v>
          </cell>
          <cell r="R26">
            <v>171150</v>
          </cell>
          <cell r="T26">
            <v>176099</v>
          </cell>
        </row>
        <row r="33">
          <cell r="N33">
            <v>595371</v>
          </cell>
          <cell r="R33">
            <v>578638</v>
          </cell>
          <cell r="T33">
            <v>980600</v>
          </cell>
        </row>
        <row r="36">
          <cell r="T36">
            <v>1916018</v>
          </cell>
        </row>
        <row r="41">
          <cell r="N41">
            <v>14834</v>
          </cell>
          <cell r="R41">
            <v>14417</v>
          </cell>
          <cell r="T41">
            <v>14834</v>
          </cell>
        </row>
        <row r="42">
          <cell r="N42">
            <v>14070</v>
          </cell>
          <cell r="R42">
            <v>13674</v>
          </cell>
          <cell r="T42">
            <v>14070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206115</v>
          </cell>
          <cell r="R12">
            <v>199772</v>
          </cell>
          <cell r="U12">
            <v>42355</v>
          </cell>
        </row>
        <row r="15">
          <cell r="N15">
            <v>104522</v>
          </cell>
          <cell r="R15">
            <v>101305</v>
          </cell>
          <cell r="T15">
            <v>104522</v>
          </cell>
        </row>
        <row r="18">
          <cell r="N18">
            <v>44116</v>
          </cell>
          <cell r="R18">
            <v>42758</v>
          </cell>
          <cell r="T18">
            <v>44116</v>
          </cell>
        </row>
        <row r="19">
          <cell r="N19">
            <v>4071</v>
          </cell>
          <cell r="R19">
            <v>3946</v>
          </cell>
          <cell r="T19">
            <v>4071</v>
          </cell>
        </row>
        <row r="20">
          <cell r="N20">
            <v>9153</v>
          </cell>
          <cell r="R20">
            <v>8871</v>
          </cell>
          <cell r="T20">
            <v>9153</v>
          </cell>
        </row>
        <row r="22">
          <cell r="K22">
            <v>14591</v>
          </cell>
          <cell r="R22">
            <v>14142</v>
          </cell>
          <cell r="T22">
            <v>22439</v>
          </cell>
        </row>
        <row r="26">
          <cell r="N26">
            <v>81526</v>
          </cell>
          <cell r="R26">
            <v>79017</v>
          </cell>
          <cell r="T26">
            <v>81526</v>
          </cell>
        </row>
        <row r="33">
          <cell r="N33">
            <v>289171</v>
          </cell>
          <cell r="R33">
            <v>280271</v>
          </cell>
          <cell r="T33">
            <v>331982</v>
          </cell>
        </row>
        <row r="36">
          <cell r="T36">
            <v>1120148</v>
          </cell>
        </row>
        <row r="41">
          <cell r="N41">
            <v>6954</v>
          </cell>
          <cell r="R41">
            <v>6740</v>
          </cell>
          <cell r="T41">
            <v>6954</v>
          </cell>
        </row>
        <row r="42">
          <cell r="N42">
            <v>6545</v>
          </cell>
          <cell r="R42">
            <v>6343</v>
          </cell>
          <cell r="T42">
            <v>6545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445224</v>
          </cell>
          <cell r="R12">
            <v>412690</v>
          </cell>
          <cell r="U12">
            <v>116443</v>
          </cell>
        </row>
        <row r="15">
          <cell r="N15">
            <v>218091</v>
          </cell>
          <cell r="R15">
            <v>202154</v>
          </cell>
          <cell r="T15">
            <v>218091</v>
          </cell>
        </row>
        <row r="18">
          <cell r="N18">
            <v>93666</v>
          </cell>
          <cell r="R18">
            <v>86822</v>
          </cell>
          <cell r="T18">
            <v>93666</v>
          </cell>
        </row>
        <row r="19">
          <cell r="N19">
            <v>8635</v>
          </cell>
          <cell r="R19">
            <v>8004</v>
          </cell>
          <cell r="T19">
            <v>8635</v>
          </cell>
        </row>
        <row r="20">
          <cell r="N20">
            <v>19402</v>
          </cell>
          <cell r="R20">
            <v>17985</v>
          </cell>
          <cell r="T20">
            <v>19402</v>
          </cell>
        </row>
        <row r="22">
          <cell r="K22">
            <v>30382</v>
          </cell>
          <cell r="R22">
            <v>28162</v>
          </cell>
          <cell r="T22">
            <v>26051</v>
          </cell>
        </row>
        <row r="26">
          <cell r="N26">
            <v>172892</v>
          </cell>
          <cell r="R26">
            <v>160258</v>
          </cell>
          <cell r="T26">
            <v>172892</v>
          </cell>
        </row>
        <row r="33">
          <cell r="N33">
            <v>517740</v>
          </cell>
          <cell r="R33">
            <v>479907</v>
          </cell>
          <cell r="T33">
            <v>599961</v>
          </cell>
        </row>
        <row r="41">
          <cell r="N41">
            <v>14762</v>
          </cell>
          <cell r="R41">
            <v>13683</v>
          </cell>
          <cell r="T41">
            <v>14762</v>
          </cell>
        </row>
        <row r="42">
          <cell r="N42">
            <v>13917</v>
          </cell>
          <cell r="R42">
            <v>12900</v>
          </cell>
          <cell r="T42">
            <v>13917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227164</v>
          </cell>
          <cell r="R12">
            <v>222055</v>
          </cell>
          <cell r="U12">
            <v>158709</v>
          </cell>
        </row>
        <row r="15">
          <cell r="N15">
            <v>92193</v>
          </cell>
          <cell r="R15">
            <v>90120</v>
          </cell>
          <cell r="T15">
            <v>92193</v>
          </cell>
        </row>
        <row r="17">
          <cell r="N17">
            <v>34638</v>
          </cell>
          <cell r="R17">
            <v>33859</v>
          </cell>
        </row>
        <row r="18">
          <cell r="N18">
            <v>37619</v>
          </cell>
          <cell r="R18">
            <v>36773</v>
          </cell>
          <cell r="T18">
            <v>37619</v>
          </cell>
        </row>
        <row r="19">
          <cell r="N19">
            <v>2502</v>
          </cell>
          <cell r="R19">
            <v>2445</v>
          </cell>
          <cell r="T19">
            <v>2502</v>
          </cell>
        </row>
        <row r="20">
          <cell r="N20">
            <v>11131</v>
          </cell>
          <cell r="R20">
            <v>10881</v>
          </cell>
          <cell r="T20">
            <v>11131</v>
          </cell>
        </row>
        <row r="22">
          <cell r="K22">
            <v>16719</v>
          </cell>
          <cell r="R22">
            <v>16343</v>
          </cell>
          <cell r="T22">
            <v>61432</v>
          </cell>
        </row>
        <row r="23">
          <cell r="K23">
            <v>29633</v>
          </cell>
          <cell r="R23">
            <v>28967</v>
          </cell>
          <cell r="T23">
            <v>22182</v>
          </cell>
        </row>
        <row r="24">
          <cell r="N24">
            <v>50994</v>
          </cell>
          <cell r="R24">
            <v>49847</v>
          </cell>
        </row>
        <row r="25">
          <cell r="N25">
            <v>189061</v>
          </cell>
          <cell r="R25">
            <v>184809</v>
          </cell>
        </row>
        <row r="26">
          <cell r="N26">
            <v>105725</v>
          </cell>
          <cell r="R26">
            <v>103347</v>
          </cell>
          <cell r="T26">
            <v>105725</v>
          </cell>
        </row>
        <row r="33">
          <cell r="N33">
            <v>181070</v>
          </cell>
          <cell r="R33">
            <v>176998</v>
          </cell>
          <cell r="T33">
            <v>332846</v>
          </cell>
        </row>
        <row r="36">
          <cell r="T36">
            <v>1201390</v>
          </cell>
        </row>
        <row r="41">
          <cell r="N41">
            <v>3712</v>
          </cell>
          <cell r="R41">
            <v>3628</v>
          </cell>
          <cell r="T41">
            <v>3712</v>
          </cell>
        </row>
        <row r="42">
          <cell r="N42">
            <v>7363</v>
          </cell>
          <cell r="R42">
            <v>7198</v>
          </cell>
          <cell r="T42">
            <v>7363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350249</v>
          </cell>
          <cell r="R12">
            <v>329791</v>
          </cell>
          <cell r="U12">
            <v>130516</v>
          </cell>
        </row>
        <row r="15">
          <cell r="N15">
            <v>178654</v>
          </cell>
          <cell r="R15">
            <v>168219</v>
          </cell>
          <cell r="T15">
            <v>178654</v>
          </cell>
        </row>
        <row r="18">
          <cell r="N18">
            <v>72882</v>
          </cell>
          <cell r="R18">
            <v>68625</v>
          </cell>
          <cell r="T18">
            <v>72882</v>
          </cell>
        </row>
        <row r="19">
          <cell r="N19">
            <v>6715</v>
          </cell>
          <cell r="R19">
            <v>6323</v>
          </cell>
          <cell r="T19">
            <v>6715</v>
          </cell>
        </row>
        <row r="20">
          <cell r="N20">
            <v>15045</v>
          </cell>
          <cell r="R20">
            <v>14167</v>
          </cell>
          <cell r="T20">
            <v>15045</v>
          </cell>
        </row>
        <row r="22">
          <cell r="K22">
            <v>23378</v>
          </cell>
          <cell r="R22">
            <v>22012</v>
          </cell>
          <cell r="T22">
            <v>19128</v>
          </cell>
        </row>
        <row r="26">
          <cell r="N26">
            <v>134167</v>
          </cell>
          <cell r="R26">
            <v>126330</v>
          </cell>
          <cell r="T26">
            <v>134167</v>
          </cell>
        </row>
        <row r="33">
          <cell r="N33">
            <v>437711</v>
          </cell>
          <cell r="R33">
            <v>412145</v>
          </cell>
          <cell r="T33">
            <v>519326</v>
          </cell>
        </row>
        <row r="41">
          <cell r="N41">
            <v>11495</v>
          </cell>
          <cell r="R41">
            <v>10823</v>
          </cell>
          <cell r="T41">
            <v>11495</v>
          </cell>
        </row>
        <row r="42">
          <cell r="N42">
            <v>10845</v>
          </cell>
          <cell r="R42">
            <v>10212</v>
          </cell>
          <cell r="T42">
            <v>10845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443071</v>
          </cell>
          <cell r="R12">
            <v>419182</v>
          </cell>
          <cell r="U12">
            <v>349030</v>
          </cell>
        </row>
        <row r="15">
          <cell r="N15">
            <v>219883</v>
          </cell>
          <cell r="R15">
            <v>208027</v>
          </cell>
          <cell r="T15">
            <v>219883</v>
          </cell>
        </row>
        <row r="18">
          <cell r="N18">
            <v>93556</v>
          </cell>
          <cell r="R18">
            <v>88511</v>
          </cell>
          <cell r="T18">
            <v>93556</v>
          </cell>
        </row>
        <row r="19">
          <cell r="N19">
            <v>8646</v>
          </cell>
          <cell r="R19">
            <v>8180</v>
          </cell>
          <cell r="T19">
            <v>8646</v>
          </cell>
        </row>
        <row r="20">
          <cell r="N20">
            <v>19256</v>
          </cell>
          <cell r="R20">
            <v>18218</v>
          </cell>
          <cell r="T20">
            <v>19256</v>
          </cell>
        </row>
        <row r="22">
          <cell r="K22">
            <v>30718</v>
          </cell>
          <cell r="R22">
            <v>29061</v>
          </cell>
          <cell r="T22">
            <v>14816</v>
          </cell>
        </row>
        <row r="26">
          <cell r="N26">
            <v>171742</v>
          </cell>
          <cell r="R26">
            <v>162482</v>
          </cell>
          <cell r="T26">
            <v>171742</v>
          </cell>
        </row>
        <row r="33">
          <cell r="N33">
            <v>661130</v>
          </cell>
          <cell r="R33">
            <v>625484</v>
          </cell>
          <cell r="T33">
            <v>721266</v>
          </cell>
        </row>
        <row r="41">
          <cell r="N41">
            <v>14806</v>
          </cell>
          <cell r="R41">
            <v>14007</v>
          </cell>
          <cell r="T41">
            <v>14806</v>
          </cell>
        </row>
        <row r="42">
          <cell r="N42">
            <v>13895</v>
          </cell>
          <cell r="R42">
            <v>13146</v>
          </cell>
          <cell r="T42">
            <v>13895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389918</v>
          </cell>
          <cell r="R12">
            <v>392280</v>
          </cell>
          <cell r="U12">
            <v>214419</v>
          </cell>
        </row>
        <row r="15">
          <cell r="N15">
            <v>222907</v>
          </cell>
          <cell r="R15">
            <v>224257</v>
          </cell>
          <cell r="T15">
            <v>222907</v>
          </cell>
        </row>
        <row r="17">
          <cell r="N17">
            <v>103930</v>
          </cell>
          <cell r="R17">
            <v>104560</v>
          </cell>
        </row>
        <row r="18">
          <cell r="N18">
            <v>59023</v>
          </cell>
          <cell r="R18">
            <v>59381</v>
          </cell>
          <cell r="T18">
            <v>59023</v>
          </cell>
        </row>
        <row r="19">
          <cell r="N19">
            <v>3926</v>
          </cell>
          <cell r="R19">
            <v>3950</v>
          </cell>
          <cell r="T19">
            <v>3926</v>
          </cell>
        </row>
        <row r="20">
          <cell r="N20">
            <v>17471</v>
          </cell>
          <cell r="R20">
            <v>17577</v>
          </cell>
          <cell r="T20">
            <v>17471</v>
          </cell>
        </row>
        <row r="22">
          <cell r="N22">
            <v>26533</v>
          </cell>
          <cell r="R22">
            <v>26694</v>
          </cell>
          <cell r="T22">
            <v>94309</v>
          </cell>
        </row>
        <row r="23">
          <cell r="N23">
            <v>37617</v>
          </cell>
          <cell r="R23">
            <v>37845</v>
          </cell>
          <cell r="T23">
            <v>16716</v>
          </cell>
        </row>
        <row r="24">
          <cell r="N24">
            <v>80027</v>
          </cell>
          <cell r="R24">
            <v>80511</v>
          </cell>
        </row>
        <row r="25">
          <cell r="N25">
            <v>239997</v>
          </cell>
          <cell r="R25">
            <v>241451</v>
          </cell>
        </row>
        <row r="26">
          <cell r="N26">
            <v>165960</v>
          </cell>
          <cell r="R26">
            <v>166965</v>
          </cell>
          <cell r="T26">
            <v>165960</v>
          </cell>
        </row>
        <row r="33">
          <cell r="N33">
            <v>547060</v>
          </cell>
          <cell r="R33">
            <v>550374</v>
          </cell>
          <cell r="T33">
            <v>625803</v>
          </cell>
        </row>
        <row r="36">
          <cell r="R36">
            <v>2483015</v>
          </cell>
        </row>
        <row r="41">
          <cell r="N41">
            <v>5824</v>
          </cell>
          <cell r="R41">
            <v>5860</v>
          </cell>
          <cell r="T41">
            <v>5824</v>
          </cell>
        </row>
        <row r="42">
          <cell r="N42">
            <v>11541</v>
          </cell>
          <cell r="R42">
            <v>11611</v>
          </cell>
          <cell r="T42">
            <v>11541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211686</v>
          </cell>
          <cell r="R12">
            <v>184978</v>
          </cell>
          <cell r="U12">
            <v>92389</v>
          </cell>
        </row>
        <row r="15">
          <cell r="N15">
            <v>112155</v>
          </cell>
          <cell r="R15">
            <v>98005</v>
          </cell>
          <cell r="T15">
            <v>112155</v>
          </cell>
        </row>
        <row r="18">
          <cell r="N18">
            <v>43668</v>
          </cell>
          <cell r="R18">
            <v>38158</v>
          </cell>
          <cell r="T18">
            <v>43668</v>
          </cell>
        </row>
        <row r="19">
          <cell r="N19">
            <v>4011</v>
          </cell>
          <cell r="R19">
            <v>3505</v>
          </cell>
          <cell r="T19">
            <v>4011</v>
          </cell>
        </row>
        <row r="20">
          <cell r="N20">
            <v>9199</v>
          </cell>
          <cell r="R20">
            <v>8038</v>
          </cell>
          <cell r="T20">
            <v>9199</v>
          </cell>
        </row>
        <row r="22">
          <cell r="K22">
            <v>14341</v>
          </cell>
          <cell r="R22">
            <v>12532</v>
          </cell>
          <cell r="T22">
            <v>17982</v>
          </cell>
        </row>
        <row r="26">
          <cell r="N26">
            <v>81741</v>
          </cell>
          <cell r="R26">
            <v>71428</v>
          </cell>
          <cell r="T26">
            <v>81741</v>
          </cell>
        </row>
        <row r="33">
          <cell r="N33">
            <v>334191</v>
          </cell>
          <cell r="R33">
            <v>292027</v>
          </cell>
          <cell r="T33">
            <v>407840</v>
          </cell>
        </row>
        <row r="36">
          <cell r="T36">
            <v>1021881</v>
          </cell>
        </row>
        <row r="41">
          <cell r="N41">
            <v>6823</v>
          </cell>
          <cell r="R41">
            <v>5962</v>
          </cell>
          <cell r="T41">
            <v>6823</v>
          </cell>
        </row>
        <row r="42">
          <cell r="N42">
            <v>6484</v>
          </cell>
          <cell r="R42">
            <v>5666</v>
          </cell>
          <cell r="T42">
            <v>6484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203300</v>
          </cell>
          <cell r="R12">
            <v>182330</v>
          </cell>
          <cell r="U12">
            <v>219031</v>
          </cell>
        </row>
        <row r="15">
          <cell r="N15">
            <v>91330</v>
          </cell>
          <cell r="R15">
            <v>81910</v>
          </cell>
          <cell r="T15">
            <v>91330</v>
          </cell>
        </row>
        <row r="18">
          <cell r="N18">
            <v>44761</v>
          </cell>
          <cell r="R18">
            <v>40144</v>
          </cell>
          <cell r="T18">
            <v>44761</v>
          </cell>
        </row>
        <row r="19">
          <cell r="N19">
            <v>4136</v>
          </cell>
          <cell r="R19">
            <v>3710</v>
          </cell>
          <cell r="T19">
            <v>4136</v>
          </cell>
        </row>
        <row r="20">
          <cell r="N20">
            <v>9212</v>
          </cell>
          <cell r="R20">
            <v>8262</v>
          </cell>
          <cell r="T20">
            <v>9212</v>
          </cell>
        </row>
        <row r="22">
          <cell r="K22">
            <v>14741</v>
          </cell>
          <cell r="R22">
            <v>13220</v>
          </cell>
          <cell r="T22">
            <v>21722</v>
          </cell>
        </row>
        <row r="26">
          <cell r="N26">
            <v>82163</v>
          </cell>
          <cell r="R26">
            <v>73688</v>
          </cell>
          <cell r="T26">
            <v>82163</v>
          </cell>
        </row>
        <row r="33">
          <cell r="N33">
            <v>275431</v>
          </cell>
          <cell r="R33">
            <v>247021</v>
          </cell>
          <cell r="T33">
            <v>300931</v>
          </cell>
        </row>
        <row r="41">
          <cell r="N41">
            <v>7083</v>
          </cell>
          <cell r="R41">
            <v>6353</v>
          </cell>
          <cell r="T41">
            <v>7083</v>
          </cell>
        </row>
        <row r="42">
          <cell r="N42">
            <v>6648</v>
          </cell>
          <cell r="R42">
            <v>5963</v>
          </cell>
          <cell r="T42">
            <v>6648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259131</v>
          </cell>
          <cell r="R12">
            <v>256727</v>
          </cell>
          <cell r="U12">
            <v>350548</v>
          </cell>
        </row>
        <row r="15">
          <cell r="N15">
            <v>134683</v>
          </cell>
          <cell r="R15">
            <v>133434</v>
          </cell>
          <cell r="T15">
            <v>134683</v>
          </cell>
        </row>
        <row r="17">
          <cell r="N17" t="str">
            <v> </v>
          </cell>
          <cell r="R17" t="str">
            <v> </v>
          </cell>
        </row>
        <row r="18">
          <cell r="N18">
            <v>41392</v>
          </cell>
          <cell r="R18">
            <v>41008</v>
          </cell>
          <cell r="T18">
            <v>41392</v>
          </cell>
        </row>
        <row r="19">
          <cell r="N19">
            <v>2739</v>
          </cell>
          <cell r="R19">
            <v>2714</v>
          </cell>
          <cell r="T19">
            <v>2739</v>
          </cell>
        </row>
        <row r="20">
          <cell r="N20">
            <v>12252</v>
          </cell>
          <cell r="R20">
            <v>12139</v>
          </cell>
          <cell r="T20">
            <v>12252</v>
          </cell>
        </row>
        <row r="22">
          <cell r="N22">
            <v>18497</v>
          </cell>
          <cell r="R22">
            <v>18326</v>
          </cell>
          <cell r="T22">
            <v>50525</v>
          </cell>
        </row>
        <row r="23">
          <cell r="N23">
            <v>28627</v>
          </cell>
          <cell r="R23">
            <v>28362</v>
          </cell>
          <cell r="T23">
            <v>12600</v>
          </cell>
        </row>
        <row r="24">
          <cell r="N24">
            <v>56065</v>
          </cell>
          <cell r="R24">
            <v>55545</v>
          </cell>
        </row>
        <row r="25">
          <cell r="N25">
            <v>182643</v>
          </cell>
          <cell r="R25">
            <v>180949</v>
          </cell>
          <cell r="T25">
            <v>182643</v>
          </cell>
        </row>
        <row r="26">
          <cell r="N26">
            <v>116319</v>
          </cell>
          <cell r="R26">
            <v>115239</v>
          </cell>
          <cell r="T26">
            <v>116319</v>
          </cell>
        </row>
        <row r="33">
          <cell r="N33">
            <v>369265</v>
          </cell>
          <cell r="R33">
            <v>365839</v>
          </cell>
          <cell r="T33">
            <v>413152</v>
          </cell>
        </row>
        <row r="36">
          <cell r="T36">
            <v>1441867</v>
          </cell>
        </row>
        <row r="41">
          <cell r="N41">
            <v>4059</v>
          </cell>
          <cell r="R41">
            <v>4021</v>
          </cell>
          <cell r="T41">
            <v>4059</v>
          </cell>
        </row>
        <row r="42">
          <cell r="N42">
            <v>8061</v>
          </cell>
          <cell r="R42">
            <v>7986</v>
          </cell>
          <cell r="T42">
            <v>8061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444050</v>
          </cell>
          <cell r="R12">
            <v>415927</v>
          </cell>
          <cell r="U12">
            <v>453760</v>
          </cell>
        </row>
        <row r="15">
          <cell r="N15">
            <v>252091</v>
          </cell>
          <cell r="R15">
            <v>236126</v>
          </cell>
          <cell r="T15">
            <v>252091</v>
          </cell>
        </row>
        <row r="18">
          <cell r="N18">
            <v>98748</v>
          </cell>
          <cell r="R18">
            <v>92494</v>
          </cell>
          <cell r="T18">
            <v>98748</v>
          </cell>
        </row>
        <row r="19">
          <cell r="N19">
            <v>9111</v>
          </cell>
          <cell r="R19">
            <v>8534</v>
          </cell>
          <cell r="T19">
            <v>9111</v>
          </cell>
        </row>
        <row r="20">
          <cell r="N20">
            <v>20290</v>
          </cell>
          <cell r="R20">
            <v>19005</v>
          </cell>
          <cell r="T20">
            <v>20290</v>
          </cell>
        </row>
        <row r="22">
          <cell r="N22">
            <v>31804</v>
          </cell>
          <cell r="R22">
            <v>29790</v>
          </cell>
          <cell r="T22">
            <v>43818</v>
          </cell>
        </row>
        <row r="26">
          <cell r="N26">
            <v>181066</v>
          </cell>
          <cell r="R26">
            <v>169599</v>
          </cell>
          <cell r="T26">
            <v>181066</v>
          </cell>
        </row>
        <row r="33">
          <cell r="N33">
            <v>645558</v>
          </cell>
          <cell r="R33">
            <v>604673</v>
          </cell>
          <cell r="T33">
            <v>843993</v>
          </cell>
        </row>
        <row r="36">
          <cell r="T36">
            <v>1930346</v>
          </cell>
        </row>
        <row r="41">
          <cell r="N41">
            <v>15618</v>
          </cell>
          <cell r="R41">
            <v>14629</v>
          </cell>
          <cell r="T41">
            <v>15618</v>
          </cell>
        </row>
        <row r="42">
          <cell r="N42">
            <v>14693</v>
          </cell>
          <cell r="R42">
            <v>13763</v>
          </cell>
          <cell r="T42">
            <v>14693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154036</v>
          </cell>
          <cell r="R12">
            <v>141553</v>
          </cell>
          <cell r="U12">
            <v>319133</v>
          </cell>
        </row>
        <row r="15">
          <cell r="N15">
            <v>82077</v>
          </cell>
          <cell r="R15">
            <v>75425</v>
          </cell>
          <cell r="T15">
            <v>82077</v>
          </cell>
        </row>
        <row r="17">
          <cell r="N17">
            <v>38243</v>
          </cell>
          <cell r="R17">
            <v>35144</v>
          </cell>
        </row>
        <row r="18">
          <cell r="N18">
            <v>24875</v>
          </cell>
          <cell r="R18">
            <v>22859</v>
          </cell>
          <cell r="T18">
            <v>24875</v>
          </cell>
        </row>
        <row r="19">
          <cell r="N19">
            <v>1655</v>
          </cell>
          <cell r="R19">
            <v>1521</v>
          </cell>
          <cell r="T19">
            <v>1655</v>
          </cell>
        </row>
        <row r="20">
          <cell r="N20">
            <v>7368</v>
          </cell>
          <cell r="R20">
            <v>6771</v>
          </cell>
          <cell r="T20">
            <v>7368</v>
          </cell>
        </row>
        <row r="22">
          <cell r="N22">
            <v>11264</v>
          </cell>
          <cell r="R22">
            <v>10351</v>
          </cell>
          <cell r="T22">
            <v>61380</v>
          </cell>
        </row>
        <row r="23">
          <cell r="N23">
            <v>18385</v>
          </cell>
          <cell r="R23">
            <v>16895</v>
          </cell>
          <cell r="T23">
            <v>9831</v>
          </cell>
        </row>
        <row r="24">
          <cell r="N24">
            <v>33740</v>
          </cell>
          <cell r="R24">
            <v>31006</v>
          </cell>
        </row>
        <row r="25">
          <cell r="N25">
            <v>117295</v>
          </cell>
          <cell r="R25">
            <v>107789</v>
          </cell>
        </row>
        <row r="26">
          <cell r="N26">
            <v>69997</v>
          </cell>
          <cell r="R26">
            <v>64324</v>
          </cell>
          <cell r="T26">
            <v>69997</v>
          </cell>
        </row>
        <row r="33">
          <cell r="N33">
            <v>200619</v>
          </cell>
          <cell r="R33">
            <v>184360</v>
          </cell>
          <cell r="T33">
            <v>273039</v>
          </cell>
        </row>
        <row r="41">
          <cell r="N41">
            <v>2457</v>
          </cell>
          <cell r="R41">
            <v>2258</v>
          </cell>
          <cell r="T41">
            <v>2457</v>
          </cell>
        </row>
        <row r="42">
          <cell r="N42">
            <v>4855</v>
          </cell>
          <cell r="R42">
            <v>4462</v>
          </cell>
          <cell r="T42">
            <v>4855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388566</v>
          </cell>
          <cell r="R12">
            <v>379488</v>
          </cell>
          <cell r="U12">
            <v>166443</v>
          </cell>
        </row>
        <row r="15">
          <cell r="N15">
            <v>190431</v>
          </cell>
          <cell r="R15">
            <v>185982</v>
          </cell>
          <cell r="T15">
            <v>190431</v>
          </cell>
        </row>
        <row r="18">
          <cell r="N18">
            <v>62689</v>
          </cell>
          <cell r="R18">
            <v>61224</v>
          </cell>
          <cell r="T18">
            <v>62689</v>
          </cell>
        </row>
        <row r="19">
          <cell r="N19">
            <v>4170</v>
          </cell>
          <cell r="R19">
            <v>4072</v>
          </cell>
          <cell r="T19">
            <v>4170</v>
          </cell>
        </row>
        <row r="20">
          <cell r="N20">
            <v>18545</v>
          </cell>
          <cell r="R20">
            <v>18112</v>
          </cell>
          <cell r="T20">
            <v>18545</v>
          </cell>
        </row>
        <row r="22">
          <cell r="N22">
            <v>27801</v>
          </cell>
          <cell r="R22">
            <v>27152</v>
          </cell>
          <cell r="T22">
            <v>58387</v>
          </cell>
        </row>
        <row r="23">
          <cell r="N23">
            <v>48640</v>
          </cell>
          <cell r="R23">
            <v>47504</v>
          </cell>
          <cell r="T23">
            <v>28206</v>
          </cell>
        </row>
        <row r="24">
          <cell r="N24">
            <v>84970</v>
          </cell>
          <cell r="R24">
            <v>82985</v>
          </cell>
        </row>
        <row r="25">
          <cell r="N25">
            <v>310328</v>
          </cell>
          <cell r="R25">
            <v>303078</v>
          </cell>
        </row>
        <row r="26">
          <cell r="N26">
            <v>176160</v>
          </cell>
          <cell r="R26">
            <v>172044</v>
          </cell>
          <cell r="T26">
            <v>176160</v>
          </cell>
        </row>
        <row r="33">
          <cell r="N33">
            <v>415276</v>
          </cell>
          <cell r="R33">
            <v>405574</v>
          </cell>
          <cell r="T33">
            <v>475585</v>
          </cell>
        </row>
        <row r="36">
          <cell r="T36">
            <v>1512797</v>
          </cell>
        </row>
        <row r="41">
          <cell r="N41">
            <v>6182</v>
          </cell>
          <cell r="R41">
            <v>6037</v>
          </cell>
          <cell r="T41">
            <v>6182</v>
          </cell>
        </row>
        <row r="42">
          <cell r="N42">
            <v>12272</v>
          </cell>
          <cell r="R42">
            <v>11985</v>
          </cell>
          <cell r="T42">
            <v>12272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238204</v>
          </cell>
          <cell r="R12">
            <v>227918</v>
          </cell>
          <cell r="U12">
            <v>386500</v>
          </cell>
        </row>
        <row r="15">
          <cell r="N15">
            <v>92580</v>
          </cell>
          <cell r="R15">
            <v>88582</v>
          </cell>
          <cell r="T15">
            <v>92580</v>
          </cell>
        </row>
        <row r="18">
          <cell r="N18">
            <v>43478</v>
          </cell>
          <cell r="R18">
            <v>41600</v>
          </cell>
          <cell r="T18">
            <v>43478</v>
          </cell>
        </row>
        <row r="19">
          <cell r="N19">
            <v>4013</v>
          </cell>
          <cell r="R19">
            <v>3840</v>
          </cell>
          <cell r="T19">
            <v>4013</v>
          </cell>
        </row>
        <row r="20">
          <cell r="N20">
            <v>8938</v>
          </cell>
          <cell r="R20">
            <v>8552</v>
          </cell>
          <cell r="T20">
            <v>8938</v>
          </cell>
        </row>
        <row r="22">
          <cell r="K22">
            <v>14106</v>
          </cell>
          <cell r="R22">
            <v>13497</v>
          </cell>
          <cell r="T22">
            <v>33881</v>
          </cell>
        </row>
        <row r="26">
          <cell r="N26">
            <v>79747</v>
          </cell>
          <cell r="R26">
            <v>76303</v>
          </cell>
          <cell r="T26">
            <v>79747</v>
          </cell>
        </row>
        <row r="33">
          <cell r="N33">
            <v>250919</v>
          </cell>
          <cell r="R33">
            <v>240084</v>
          </cell>
          <cell r="T33">
            <v>318277</v>
          </cell>
        </row>
        <row r="41">
          <cell r="N41">
            <v>6877</v>
          </cell>
          <cell r="R41">
            <v>6580</v>
          </cell>
          <cell r="T41">
            <v>6877</v>
          </cell>
        </row>
        <row r="42">
          <cell r="N42">
            <v>6466</v>
          </cell>
          <cell r="R42">
            <v>6187</v>
          </cell>
          <cell r="T42">
            <v>6466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54">
      <selection activeCell="C57" sqref="C57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5.00390625" style="0" customWidth="1"/>
    <col min="8" max="8" width="10.140625" style="0" bestFit="1" customWidth="1"/>
  </cols>
  <sheetData>
    <row r="1" spans="2:6" ht="18.75">
      <c r="B1" s="1" t="s">
        <v>0</v>
      </c>
      <c r="C1" s="15"/>
      <c r="D1" s="15"/>
      <c r="E1" s="15"/>
      <c r="F1" s="15"/>
    </row>
    <row r="2" spans="1:6" ht="18.75">
      <c r="A2" s="42"/>
      <c r="B2" s="15"/>
      <c r="D2" s="2" t="s">
        <v>1</v>
      </c>
      <c r="E2" s="15"/>
      <c r="F2" s="15"/>
    </row>
    <row r="3" spans="2:6" ht="18.75">
      <c r="B3" s="15"/>
      <c r="D3" s="3" t="s">
        <v>45</v>
      </c>
      <c r="E3" s="15"/>
      <c r="F3" s="15"/>
    </row>
    <row r="4" spans="2:6" ht="15.75">
      <c r="B4" s="12"/>
      <c r="C4" s="14"/>
      <c r="D4" s="14"/>
      <c r="E4" s="14"/>
      <c r="F4" s="14"/>
    </row>
    <row r="5" spans="2:6" ht="15.75">
      <c r="B5" s="46" t="s">
        <v>54</v>
      </c>
      <c r="C5" s="14"/>
      <c r="D5" s="47">
        <v>-237554.36</v>
      </c>
      <c r="E5" s="14"/>
      <c r="F5" s="14"/>
    </row>
    <row r="6" spans="2:6" ht="15">
      <c r="B6" s="38" t="s">
        <v>55</v>
      </c>
      <c r="C6" s="14"/>
      <c r="D6" s="14"/>
      <c r="E6" s="14"/>
      <c r="F6" s="14"/>
    </row>
    <row r="7" spans="2:6" ht="14.25">
      <c r="B7" s="24" t="s">
        <v>38</v>
      </c>
      <c r="C7" s="16"/>
      <c r="D7" s="16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5.75">
      <c r="B9" s="12"/>
      <c r="C9" s="14"/>
      <c r="D9" s="14"/>
      <c r="E9" s="14"/>
      <c r="F9" s="14"/>
    </row>
    <row r="10" spans="2:9" ht="13.5" thickBot="1">
      <c r="B10" s="18" t="s">
        <v>2</v>
      </c>
      <c r="C10" s="19"/>
      <c r="D10" s="19"/>
      <c r="E10" s="19"/>
      <c r="F10" s="19"/>
      <c r="G10" s="19"/>
      <c r="H10" s="19"/>
      <c r="I10" s="19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19"/>
      <c r="I11" s="19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19"/>
      <c r="I12" s="19"/>
    </row>
    <row r="13" spans="2:9" ht="13.5" thickBot="1">
      <c r="B13" s="56" t="s">
        <v>24</v>
      </c>
      <c r="C13" s="57"/>
      <c r="D13" s="57"/>
      <c r="E13" s="57"/>
      <c r="F13" s="57"/>
      <c r="G13" s="58"/>
      <c r="H13" s="19"/>
      <c r="I13" s="19"/>
    </row>
    <row r="14" spans="2:9" ht="38.25" customHeight="1">
      <c r="B14" s="9" t="s">
        <v>5</v>
      </c>
      <c r="C14" s="50">
        <f>'[1]Sheet1'!$N$15</f>
        <v>114595</v>
      </c>
      <c r="D14" s="50">
        <f>'[1]Sheet1'!$R$15</f>
        <v>109938</v>
      </c>
      <c r="E14" s="50">
        <f>D14-C14</f>
        <v>-4657</v>
      </c>
      <c r="F14" s="50">
        <f>'[1]Sheet1'!$T$15</f>
        <v>114595</v>
      </c>
      <c r="G14" s="50">
        <f>C14-F14</f>
        <v>0</v>
      </c>
      <c r="H14" s="19"/>
      <c r="I14" s="27"/>
    </row>
    <row r="15" spans="2:9" ht="26.25" customHeight="1">
      <c r="B15" s="9" t="s">
        <v>22</v>
      </c>
      <c r="C15" s="52"/>
      <c r="D15" s="52"/>
      <c r="E15" s="52"/>
      <c r="F15" s="52"/>
      <c r="G15" s="52"/>
      <c r="H15" s="19"/>
      <c r="I15" s="19"/>
    </row>
    <row r="16" spans="2:9" ht="39" customHeight="1" thickBot="1">
      <c r="B16" s="10" t="s">
        <v>6</v>
      </c>
      <c r="C16" s="53"/>
      <c r="D16" s="53"/>
      <c r="E16" s="53"/>
      <c r="F16" s="53"/>
      <c r="G16" s="53"/>
      <c r="H16" s="19"/>
      <c r="I16" s="19"/>
    </row>
    <row r="17" spans="2:9" ht="13.5" thickBot="1">
      <c r="B17" s="6" t="s">
        <v>7</v>
      </c>
      <c r="C17" s="26">
        <f>C14</f>
        <v>114595</v>
      </c>
      <c r="D17" s="26">
        <f>D14</f>
        <v>109938</v>
      </c>
      <c r="E17" s="26">
        <f>E14</f>
        <v>-4657</v>
      </c>
      <c r="F17" s="26">
        <f>F14</f>
        <v>114595</v>
      </c>
      <c r="G17" s="26">
        <f>G14</f>
        <v>0</v>
      </c>
      <c r="H17" s="19"/>
      <c r="I17" s="19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19"/>
      <c r="I18" s="19"/>
    </row>
    <row r="19" spans="2:9" ht="27" customHeight="1" thickBot="1">
      <c r="B19" s="10" t="s">
        <v>9</v>
      </c>
      <c r="C19" s="25">
        <f>'[1]Sheet1'!$N$18</f>
        <v>44262</v>
      </c>
      <c r="D19" s="25">
        <f>'[1]Sheet1'!$R$18</f>
        <v>42464</v>
      </c>
      <c r="E19" s="25">
        <f aca="true" t="shared" si="0" ref="E19:E24">D19-C19</f>
        <v>-1798</v>
      </c>
      <c r="F19" s="25">
        <f>C19</f>
        <v>44262</v>
      </c>
      <c r="G19" s="25">
        <f aca="true" t="shared" si="1" ref="G19:G24">C19-F19</f>
        <v>0</v>
      </c>
      <c r="H19" s="19"/>
      <c r="I19" s="19"/>
    </row>
    <row r="20" spans="2:9" ht="25.5" customHeight="1" thickBot="1">
      <c r="B20" s="10" t="s">
        <v>10</v>
      </c>
      <c r="C20" s="25">
        <f>'[1]Sheet1'!$N$19</f>
        <v>4091</v>
      </c>
      <c r="D20" s="25">
        <f>'[1]Sheet1'!$R$19</f>
        <v>3924</v>
      </c>
      <c r="E20" s="25">
        <f t="shared" si="0"/>
        <v>-167</v>
      </c>
      <c r="F20" s="25">
        <f>C20</f>
        <v>4091</v>
      </c>
      <c r="G20" s="25">
        <f t="shared" si="1"/>
        <v>0</v>
      </c>
      <c r="H20" s="19"/>
      <c r="I20" s="19"/>
    </row>
    <row r="21" spans="2:9" ht="25.5" customHeight="1" thickBot="1">
      <c r="B21" s="10" t="s">
        <v>11</v>
      </c>
      <c r="C21" s="25">
        <f>'[1]Sheet1'!$N$20</f>
        <v>9110</v>
      </c>
      <c r="D21" s="25">
        <f>'[1]Sheet1'!$R$20</f>
        <v>8740</v>
      </c>
      <c r="E21" s="25">
        <f t="shared" si="0"/>
        <v>-370</v>
      </c>
      <c r="F21" s="25">
        <f>C21</f>
        <v>9110</v>
      </c>
      <c r="G21" s="25">
        <f t="shared" si="1"/>
        <v>0</v>
      </c>
      <c r="H21" s="19"/>
      <c r="I21" s="19"/>
    </row>
    <row r="22" spans="2:9" ht="25.5" customHeight="1" thickBot="1">
      <c r="B22" s="10" t="s">
        <v>12</v>
      </c>
      <c r="C22" s="25">
        <f>'[1]Sheet1'!$N$22+'[1]Sheet1'!$N$23</f>
        <v>15636</v>
      </c>
      <c r="D22" s="25">
        <f>'[1]Sheet1'!$R$22+'[1]Sheet1'!$R$23</f>
        <v>15001</v>
      </c>
      <c r="E22" s="25">
        <f t="shared" si="0"/>
        <v>-635</v>
      </c>
      <c r="F22" s="25">
        <v>18089</v>
      </c>
      <c r="G22" s="25">
        <f t="shared" si="1"/>
        <v>-2453</v>
      </c>
      <c r="H22" s="19"/>
      <c r="I22" s="19"/>
    </row>
    <row r="23" spans="2:9" ht="25.5" customHeight="1" thickBot="1">
      <c r="B23" s="10" t="s">
        <v>13</v>
      </c>
      <c r="C23" s="25">
        <f>'[1]Sheet1'!$N$26</f>
        <v>81250</v>
      </c>
      <c r="D23" s="25">
        <f>'[1]Sheet1'!$R$26</f>
        <v>77948</v>
      </c>
      <c r="E23" s="25">
        <f t="shared" si="0"/>
        <v>-3302</v>
      </c>
      <c r="F23" s="25">
        <f>C23</f>
        <v>81250</v>
      </c>
      <c r="G23" s="25">
        <f t="shared" si="1"/>
        <v>0</v>
      </c>
      <c r="H23" s="19"/>
      <c r="I23" s="19"/>
    </row>
    <row r="24" spans="2:9" ht="25.5" customHeight="1" thickBot="1">
      <c r="B24" s="10" t="s">
        <v>14</v>
      </c>
      <c r="C24" s="25">
        <f>'[1]Sheet1'!$K$41+'[1]Sheet1'!$N$42</f>
        <v>13578</v>
      </c>
      <c r="D24" s="25">
        <f>'[1]Sheet1'!$R$41+'[1]Sheet1'!$R$42</f>
        <v>13026</v>
      </c>
      <c r="E24" s="25">
        <f t="shared" si="0"/>
        <v>-552</v>
      </c>
      <c r="F24" s="25">
        <f>C24</f>
        <v>13578</v>
      </c>
      <c r="G24" s="25">
        <f t="shared" si="1"/>
        <v>0</v>
      </c>
      <c r="H24" s="19"/>
      <c r="I24" s="19"/>
    </row>
    <row r="25" spans="2:9" ht="13.5" thickBot="1">
      <c r="B25" s="6" t="s">
        <v>7</v>
      </c>
      <c r="C25" s="26">
        <f>SUM(C19:C24)</f>
        <v>167927</v>
      </c>
      <c r="D25" s="26">
        <f>SUM(D19:D24)</f>
        <v>161103</v>
      </c>
      <c r="E25" s="26">
        <f>SUM(E19:E24)</f>
        <v>-6824</v>
      </c>
      <c r="F25" s="26">
        <f>SUM(F19:F24)</f>
        <v>170380</v>
      </c>
      <c r="G25" s="26">
        <f>SUM(G19:G24)</f>
        <v>-2453</v>
      </c>
      <c r="H25" s="19"/>
      <c r="I25" s="19"/>
    </row>
    <row r="26" spans="2:9" ht="13.5" thickBot="1">
      <c r="B26" s="7" t="s">
        <v>15</v>
      </c>
      <c r="C26" s="26">
        <f>C17+C25</f>
        <v>282522</v>
      </c>
      <c r="D26" s="26">
        <f>D17+D25</f>
        <v>271041</v>
      </c>
      <c r="E26" s="26">
        <f>E17+E25</f>
        <v>-11481</v>
      </c>
      <c r="F26" s="26">
        <f>F17+F25</f>
        <v>284975</v>
      </c>
      <c r="G26" s="26">
        <f>G17+G25</f>
        <v>-2453</v>
      </c>
      <c r="H26" s="19"/>
      <c r="I26" s="19"/>
    </row>
    <row r="27" spans="2:9" ht="12.75">
      <c r="B27" s="11"/>
      <c r="C27" s="19"/>
      <c r="D27" s="19"/>
      <c r="E27" s="19"/>
      <c r="F27" s="19"/>
      <c r="G27" s="19"/>
      <c r="H27" s="19"/>
      <c r="I27" s="19"/>
    </row>
    <row r="28" spans="2:9" ht="12.75">
      <c r="B28" s="11"/>
      <c r="C28" s="19"/>
      <c r="D28" s="19"/>
      <c r="E28" s="19"/>
      <c r="F28" s="19"/>
      <c r="G28" s="19"/>
      <c r="H28" s="19"/>
      <c r="I28" s="19"/>
    </row>
    <row r="29" spans="2:9" ht="13.5" thickBot="1">
      <c r="B29" s="18" t="s">
        <v>47</v>
      </c>
      <c r="C29" s="19"/>
      <c r="D29" s="19"/>
      <c r="E29" s="19"/>
      <c r="F29" s="19"/>
      <c r="G29" s="19"/>
      <c r="H29" s="19"/>
      <c r="I29" s="19"/>
    </row>
    <row r="30" spans="2:9" ht="105" customHeight="1" thickBot="1">
      <c r="B30" s="22" t="s">
        <v>3</v>
      </c>
      <c r="C30" s="22" t="s">
        <v>28</v>
      </c>
      <c r="D30" s="23" t="s">
        <v>23</v>
      </c>
      <c r="E30" s="23" t="s">
        <v>31</v>
      </c>
      <c r="F30" s="22" t="s">
        <v>16</v>
      </c>
      <c r="G30" s="22" t="s">
        <v>29</v>
      </c>
      <c r="H30" s="19"/>
      <c r="I30" s="19"/>
    </row>
    <row r="31" spans="2:9" ht="13.5" customHeight="1" thickBot="1">
      <c r="B31" s="43">
        <v>1</v>
      </c>
      <c r="C31" s="44">
        <v>2</v>
      </c>
      <c r="D31" s="44">
        <v>3</v>
      </c>
      <c r="E31" s="44" t="s">
        <v>42</v>
      </c>
      <c r="F31" s="44">
        <v>5</v>
      </c>
      <c r="G31" s="45" t="s">
        <v>43</v>
      </c>
      <c r="H31" s="19"/>
      <c r="I31" s="19"/>
    </row>
    <row r="32" spans="2:9" ht="38.25" customHeight="1" thickBot="1">
      <c r="B32" s="10" t="s">
        <v>17</v>
      </c>
      <c r="C32" s="28">
        <f>'[1]Sheet1'!$N$12</f>
        <v>203448</v>
      </c>
      <c r="D32" s="28">
        <f>'[1]Sheet1'!$R$12</f>
        <v>195181</v>
      </c>
      <c r="E32" s="28">
        <f>D32-C32</f>
        <v>-8267</v>
      </c>
      <c r="F32" s="28">
        <f>'[1]Sheet1'!$U$12</f>
        <v>136309</v>
      </c>
      <c r="G32" s="28">
        <f>C32-F32</f>
        <v>67139</v>
      </c>
      <c r="H32" s="27"/>
      <c r="I32" s="19"/>
    </row>
    <row r="33" spans="2:9" ht="13.5" thickBot="1">
      <c r="B33" s="6" t="s">
        <v>18</v>
      </c>
      <c r="C33" s="29">
        <f>C32</f>
        <v>203448</v>
      </c>
      <c r="D33" s="29">
        <f>D32</f>
        <v>195181</v>
      </c>
      <c r="E33" s="29">
        <f>E32</f>
        <v>-8267</v>
      </c>
      <c r="F33" s="29">
        <f>F32</f>
        <v>136309</v>
      </c>
      <c r="G33" s="29">
        <f>G32</f>
        <v>67139</v>
      </c>
      <c r="H33" s="19"/>
      <c r="I33" s="19"/>
    </row>
    <row r="34" spans="2:9" ht="12.75">
      <c r="B34" s="13"/>
      <c r="C34" s="19"/>
      <c r="D34" s="19"/>
      <c r="E34" s="19"/>
      <c r="F34" s="19"/>
      <c r="G34" s="19"/>
      <c r="H34" s="19"/>
      <c r="I34" s="19"/>
    </row>
    <row r="35" spans="2:9" ht="12.75">
      <c r="B35" s="13"/>
      <c r="C35" s="19"/>
      <c r="D35" s="19"/>
      <c r="E35" s="19"/>
      <c r="F35" s="19"/>
      <c r="G35" s="19"/>
      <c r="H35" s="19"/>
      <c r="I35" s="19"/>
    </row>
    <row r="36" spans="2:9" ht="13.5" thickBot="1">
      <c r="B36" s="18" t="s">
        <v>30</v>
      </c>
      <c r="C36" s="19"/>
      <c r="D36" s="19"/>
      <c r="E36" s="19"/>
      <c r="F36" s="19"/>
      <c r="G36" s="19"/>
      <c r="H36" s="19"/>
      <c r="I36" s="19"/>
    </row>
    <row r="37" spans="2:9" ht="103.5" customHeight="1" thickBot="1">
      <c r="B37" s="22" t="s">
        <v>3</v>
      </c>
      <c r="C37" s="5" t="s">
        <v>25</v>
      </c>
      <c r="D37" s="8" t="s">
        <v>26</v>
      </c>
      <c r="E37" s="23" t="s">
        <v>31</v>
      </c>
      <c r="F37" s="5" t="s">
        <v>27</v>
      </c>
      <c r="G37" s="22" t="s">
        <v>29</v>
      </c>
      <c r="H37" s="19"/>
      <c r="I37" s="19"/>
    </row>
    <row r="38" spans="2:9" ht="13.5" customHeight="1" thickBot="1">
      <c r="B38" s="43">
        <v>1</v>
      </c>
      <c r="C38" s="44">
        <v>2</v>
      </c>
      <c r="D38" s="44">
        <v>3</v>
      </c>
      <c r="E38" s="44" t="s">
        <v>42</v>
      </c>
      <c r="F38" s="44">
        <v>5</v>
      </c>
      <c r="G38" s="45" t="s">
        <v>43</v>
      </c>
      <c r="H38" s="19"/>
      <c r="I38" s="19"/>
    </row>
    <row r="39" spans="2:9" ht="16.5" customHeight="1">
      <c r="B39" s="54" t="s">
        <v>46</v>
      </c>
      <c r="C39" s="50">
        <f>'[1]Sheet1'!$N$33</f>
        <v>268143</v>
      </c>
      <c r="D39" s="50">
        <f>'[1]Sheet1'!$R$33</f>
        <v>257248</v>
      </c>
      <c r="E39" s="50">
        <f>D39-C39</f>
        <v>-10895</v>
      </c>
      <c r="F39" s="50">
        <f>'[1]Sheet1'!$T$33</f>
        <v>368238</v>
      </c>
      <c r="G39" s="50">
        <f>C39-F39</f>
        <v>-100095</v>
      </c>
      <c r="H39" s="19"/>
      <c r="I39" s="19"/>
    </row>
    <row r="40" spans="2:9" ht="24" customHeight="1" thickBot="1">
      <c r="B40" s="55"/>
      <c r="C40" s="51"/>
      <c r="D40" s="51"/>
      <c r="E40" s="51"/>
      <c r="F40" s="51"/>
      <c r="G40" s="51"/>
      <c r="H40" s="19"/>
      <c r="I40" s="19"/>
    </row>
    <row r="41" spans="2:9" ht="17.25" customHeight="1">
      <c r="B41" s="54" t="s">
        <v>44</v>
      </c>
      <c r="C41" s="50">
        <f>981832.29-82351.94</f>
        <v>899480.3500000001</v>
      </c>
      <c r="D41" s="50">
        <v>895508.65</v>
      </c>
      <c r="E41" s="50">
        <f>D41-C41</f>
        <v>-3971.70000000007</v>
      </c>
      <c r="F41" s="50">
        <v>955296</v>
      </c>
      <c r="G41" s="50">
        <f>C41-F41</f>
        <v>-55815.64999999991</v>
      </c>
      <c r="H41" s="19"/>
      <c r="I41" s="19"/>
    </row>
    <row r="42" spans="2:9" ht="13.5" thickBot="1">
      <c r="B42" s="55"/>
      <c r="C42" s="51"/>
      <c r="D42" s="51"/>
      <c r="E42" s="51"/>
      <c r="F42" s="51"/>
      <c r="G42" s="51"/>
      <c r="H42" s="19"/>
      <c r="I42" s="19"/>
    </row>
    <row r="43" spans="2:9" ht="13.5" thickBot="1">
      <c r="B43" s="7" t="s">
        <v>19</v>
      </c>
      <c r="C43" s="29">
        <f>C39+C41</f>
        <v>1167623.35</v>
      </c>
      <c r="D43" s="29">
        <f>D39+D41</f>
        <v>1152756.65</v>
      </c>
      <c r="E43" s="29">
        <f>E39+E41</f>
        <v>-14866.70000000007</v>
      </c>
      <c r="F43" s="29">
        <f>F39+F41</f>
        <v>1323534</v>
      </c>
      <c r="G43" s="29">
        <f>G39+G41</f>
        <v>-155910.6499999999</v>
      </c>
      <c r="H43" s="19"/>
      <c r="I43" s="19"/>
    </row>
    <row r="44" spans="2:9" ht="12.75">
      <c r="B44" s="11"/>
      <c r="C44" s="19"/>
      <c r="D44" s="19"/>
      <c r="E44" s="19"/>
      <c r="F44" s="19"/>
      <c r="G44" s="19"/>
      <c r="H44" s="19"/>
      <c r="I44" s="19"/>
    </row>
    <row r="45" spans="2:9" ht="12.75">
      <c r="B45" s="11"/>
      <c r="C45" s="19"/>
      <c r="D45" s="19"/>
      <c r="E45" s="19"/>
      <c r="F45" s="19"/>
      <c r="G45" s="19"/>
      <c r="H45" s="19"/>
      <c r="I45" s="19"/>
    </row>
    <row r="46" spans="2:9" ht="12.75">
      <c r="B46" s="20" t="s">
        <v>41</v>
      </c>
      <c r="C46" s="19"/>
      <c r="D46" s="19"/>
      <c r="E46" s="19"/>
      <c r="F46" s="19"/>
      <c r="G46" s="31">
        <f>F48+F49</f>
        <v>-34614.70000000007</v>
      </c>
      <c r="H46" s="19"/>
      <c r="I46" s="19"/>
    </row>
    <row r="47" spans="2:9" ht="12.75">
      <c r="B47" s="30" t="s">
        <v>32</v>
      </c>
      <c r="C47" s="27"/>
      <c r="D47" s="19"/>
      <c r="E47" s="19"/>
      <c r="F47" s="19"/>
      <c r="G47" s="19"/>
      <c r="H47" s="19"/>
      <c r="I47" s="19"/>
    </row>
    <row r="48" spans="2:9" ht="12.75">
      <c r="B48" s="38" t="s">
        <v>34</v>
      </c>
      <c r="C48" s="19"/>
      <c r="D48" s="19"/>
      <c r="E48" s="19"/>
      <c r="F48" s="32">
        <f>(E26+E33)</f>
        <v>-19748</v>
      </c>
      <c r="G48" s="19"/>
      <c r="H48" s="19"/>
      <c r="I48" s="19"/>
    </row>
    <row r="49" spans="2:9" ht="12.75">
      <c r="B49" s="38" t="s">
        <v>33</v>
      </c>
      <c r="C49" s="19"/>
      <c r="D49" s="19"/>
      <c r="E49" s="19"/>
      <c r="F49" s="32">
        <f>(E43)</f>
        <v>-14866.70000000007</v>
      </c>
      <c r="G49" s="19"/>
      <c r="H49" s="19"/>
      <c r="I49" s="19"/>
    </row>
    <row r="50" spans="2:9" ht="12.75">
      <c r="B50" s="38"/>
      <c r="C50" s="19"/>
      <c r="D50" s="19"/>
      <c r="E50" s="19"/>
      <c r="F50" s="32"/>
      <c r="G50" s="19"/>
      <c r="H50" s="19"/>
      <c r="I50" s="19"/>
    </row>
    <row r="51" spans="2:9" s="33" customFormat="1" ht="12.75">
      <c r="B51" s="34" t="s">
        <v>35</v>
      </c>
      <c r="C51" s="35"/>
      <c r="D51" s="35"/>
      <c r="E51" s="36"/>
      <c r="F51" s="37"/>
      <c r="G51" s="31">
        <f>F53+F54</f>
        <v>-155910.6499999999</v>
      </c>
      <c r="H51" s="35"/>
      <c r="I51" s="35"/>
    </row>
    <row r="52" spans="2:9" s="33" customFormat="1" ht="12.75">
      <c r="B52" s="30" t="s">
        <v>32</v>
      </c>
      <c r="C52" s="35"/>
      <c r="D52" s="35"/>
      <c r="E52" s="36"/>
      <c r="F52" s="37"/>
      <c r="G52" s="41"/>
      <c r="H52" s="35"/>
      <c r="I52" s="35"/>
    </row>
    <row r="53" spans="2:9" s="33" customFormat="1" ht="12.75">
      <c r="B53" s="38" t="s">
        <v>36</v>
      </c>
      <c r="C53" s="35"/>
      <c r="D53" s="35"/>
      <c r="E53" s="36"/>
      <c r="F53" s="32">
        <v>0</v>
      </c>
      <c r="G53" s="41"/>
      <c r="H53" s="35"/>
      <c r="I53" s="35"/>
    </row>
    <row r="54" spans="2:9" s="33" customFormat="1" ht="12.75">
      <c r="B54" s="38" t="s">
        <v>37</v>
      </c>
      <c r="C54" s="35"/>
      <c r="D54" s="35"/>
      <c r="E54" s="36"/>
      <c r="F54" s="32">
        <f>(G43)</f>
        <v>-155910.6499999999</v>
      </c>
      <c r="G54" s="41"/>
      <c r="H54" s="35"/>
      <c r="I54" s="35"/>
    </row>
    <row r="55" spans="2:9" s="33" customFormat="1" ht="12.75">
      <c r="B55" s="38"/>
      <c r="C55" s="35"/>
      <c r="D55" s="35"/>
      <c r="E55" s="36"/>
      <c r="F55" s="37"/>
      <c r="G55" s="41"/>
      <c r="H55" s="35"/>
      <c r="I55" s="35"/>
    </row>
    <row r="56" spans="2:9" s="33" customFormat="1" ht="12.75">
      <c r="B56" s="34" t="s">
        <v>48</v>
      </c>
      <c r="C56" s="35"/>
      <c r="D56" s="35"/>
      <c r="E56" s="36"/>
      <c r="F56" s="37"/>
      <c r="G56" s="31">
        <f>F58+F59</f>
        <v>64686</v>
      </c>
      <c r="H56" s="35"/>
      <c r="I56" s="35"/>
    </row>
    <row r="57" spans="2:9" ht="12.75">
      <c r="B57" s="30" t="s">
        <v>32</v>
      </c>
      <c r="C57" s="19"/>
      <c r="D57" s="19"/>
      <c r="E57" s="19"/>
      <c r="F57" s="11"/>
      <c r="G57" s="41"/>
      <c r="H57" s="19"/>
      <c r="I57" s="19"/>
    </row>
    <row r="58" spans="2:9" ht="12.75">
      <c r="B58" s="38" t="s">
        <v>36</v>
      </c>
      <c r="C58" s="19"/>
      <c r="D58" s="19"/>
      <c r="E58" s="19"/>
      <c r="F58" s="32">
        <f>G33+G26</f>
        <v>64686</v>
      </c>
      <c r="G58" s="19"/>
      <c r="H58" s="19"/>
      <c r="I58" s="19"/>
    </row>
    <row r="59" spans="2:9" ht="12.75">
      <c r="B59" s="38" t="s">
        <v>37</v>
      </c>
      <c r="C59" s="19"/>
      <c r="D59" s="19"/>
      <c r="E59" s="19"/>
      <c r="F59" s="32">
        <f>ABS(G48)</f>
        <v>0</v>
      </c>
      <c r="G59" s="19"/>
      <c r="H59" s="19"/>
      <c r="I59" s="19"/>
    </row>
    <row r="60" spans="2:9" ht="12.75">
      <c r="B60" s="38"/>
      <c r="C60" s="19"/>
      <c r="D60" s="19"/>
      <c r="E60" s="19"/>
      <c r="F60" s="32"/>
      <c r="G60" s="19"/>
      <c r="H60" s="19"/>
      <c r="I60" s="19"/>
    </row>
    <row r="61" spans="2:9" ht="12.75">
      <c r="B61" s="49" t="s">
        <v>57</v>
      </c>
      <c r="C61" s="19"/>
      <c r="D61" s="19"/>
      <c r="E61" s="19"/>
      <c r="F61" s="11"/>
      <c r="G61" s="19"/>
      <c r="H61" s="19"/>
      <c r="I61" s="19"/>
    </row>
    <row r="62" spans="2:9" ht="12.75">
      <c r="B62" s="11" t="s">
        <v>58</v>
      </c>
      <c r="C62" s="19"/>
      <c r="D62" s="19"/>
      <c r="E62" s="48"/>
      <c r="F62" s="37"/>
      <c r="G62" s="31">
        <f>1220.87+400+700</f>
        <v>2320.87</v>
      </c>
      <c r="H62" s="19"/>
      <c r="I62" s="19"/>
    </row>
    <row r="63" spans="2:9" ht="12.75">
      <c r="B63" s="18"/>
      <c r="C63" s="19"/>
      <c r="D63" s="19"/>
      <c r="E63" s="19"/>
      <c r="F63" s="19"/>
      <c r="G63" s="19"/>
      <c r="H63" s="19"/>
      <c r="I63" s="19"/>
    </row>
    <row r="64" spans="2:9" ht="12.75">
      <c r="B64" s="38"/>
      <c r="C64" s="19"/>
      <c r="D64" s="19"/>
      <c r="E64" s="19"/>
      <c r="F64" s="32"/>
      <c r="G64" s="19"/>
      <c r="H64" s="19"/>
      <c r="I64" s="19"/>
    </row>
    <row r="65" spans="2:9" ht="15.75">
      <c r="B65" s="39" t="s">
        <v>49</v>
      </c>
      <c r="C65" s="19"/>
      <c r="D65" s="19"/>
      <c r="E65" s="19"/>
      <c r="F65" s="40">
        <f>G51+G56+G62</f>
        <v>-88903.77999999991</v>
      </c>
      <c r="G65" s="40" t="s">
        <v>40</v>
      </c>
      <c r="H65" s="19"/>
      <c r="I65" s="19"/>
    </row>
    <row r="66" spans="2:9" ht="12.75">
      <c r="B66" s="24" t="s">
        <v>38</v>
      </c>
      <c r="C66" s="19"/>
      <c r="D66" s="19"/>
      <c r="E66" s="19"/>
      <c r="F66" s="32"/>
      <c r="G66" s="19"/>
      <c r="H66" s="19"/>
      <c r="I66" s="19"/>
    </row>
    <row r="67" spans="2:9" ht="12.75">
      <c r="B67" s="24" t="s">
        <v>39</v>
      </c>
      <c r="C67" s="19"/>
      <c r="D67" s="19"/>
      <c r="E67" s="19"/>
      <c r="F67" s="32"/>
      <c r="G67" s="19"/>
      <c r="H67" s="19"/>
      <c r="I67" s="19"/>
    </row>
    <row r="68" spans="2:9" ht="12.75">
      <c r="B68" s="38"/>
      <c r="C68" s="19"/>
      <c r="D68" s="19"/>
      <c r="E68" s="19"/>
      <c r="F68" s="32"/>
      <c r="G68" s="19"/>
      <c r="H68" s="19"/>
      <c r="I68" s="19"/>
    </row>
    <row r="69" spans="2:9" ht="15.75">
      <c r="B69" s="39" t="s">
        <v>50</v>
      </c>
      <c r="C69" s="19"/>
      <c r="D69" s="19"/>
      <c r="E69" s="19"/>
      <c r="F69" s="40">
        <f>G46</f>
        <v>-34614.70000000007</v>
      </c>
      <c r="G69" s="40" t="s">
        <v>40</v>
      </c>
      <c r="H69" s="19"/>
      <c r="I69" s="19"/>
    </row>
    <row r="70" spans="2:9" ht="12.75">
      <c r="B70" s="24" t="s">
        <v>52</v>
      </c>
      <c r="C70" s="19"/>
      <c r="D70" s="19"/>
      <c r="E70" s="19"/>
      <c r="F70" s="32"/>
      <c r="G70" s="19"/>
      <c r="H70" s="19"/>
      <c r="I70" s="19"/>
    </row>
    <row r="71" spans="2:9" ht="12.75">
      <c r="B71" s="24" t="s">
        <v>53</v>
      </c>
      <c r="C71" s="19"/>
      <c r="D71" s="19"/>
      <c r="E71" s="19"/>
      <c r="F71" s="32"/>
      <c r="G71" s="19"/>
      <c r="H71" s="19"/>
      <c r="I71" s="19"/>
    </row>
    <row r="72" spans="2:9" ht="12.75">
      <c r="B72" s="13"/>
      <c r="C72" s="19"/>
      <c r="D72" s="19"/>
      <c r="E72" s="19"/>
      <c r="F72" s="19"/>
      <c r="G72" s="19"/>
      <c r="H72" s="19"/>
      <c r="I72" s="19"/>
    </row>
    <row r="73" spans="2:9" ht="15.75">
      <c r="B73" s="39" t="s">
        <v>56</v>
      </c>
      <c r="C73" s="19"/>
      <c r="D73" s="19"/>
      <c r="E73" s="19"/>
      <c r="F73" s="40">
        <f>D5+F65</f>
        <v>-326458.1399999999</v>
      </c>
      <c r="G73" s="40" t="s">
        <v>40</v>
      </c>
      <c r="H73" s="19"/>
      <c r="I73" s="19"/>
    </row>
    <row r="74" spans="2:9" ht="12.75">
      <c r="B74" s="24" t="s">
        <v>38</v>
      </c>
      <c r="C74" s="19"/>
      <c r="D74" s="19"/>
      <c r="E74" s="19"/>
      <c r="F74" s="32"/>
      <c r="G74" s="19"/>
      <c r="H74" s="19"/>
      <c r="I74" s="19"/>
    </row>
    <row r="75" spans="2:9" ht="12.75">
      <c r="B75" s="24" t="s">
        <v>39</v>
      </c>
      <c r="C75" s="19"/>
      <c r="D75" s="19"/>
      <c r="E75" s="19"/>
      <c r="F75" s="32"/>
      <c r="G75" s="19"/>
      <c r="H75" s="19"/>
      <c r="I75" s="19"/>
    </row>
    <row r="76" spans="2:9" ht="12.75">
      <c r="B76" s="38"/>
      <c r="C76" s="19"/>
      <c r="D76" s="19"/>
      <c r="E76" s="19"/>
      <c r="F76" s="32"/>
      <c r="G76" s="19"/>
      <c r="H76" s="19"/>
      <c r="I76" s="19"/>
    </row>
    <row r="77" spans="2:9" ht="15.75">
      <c r="B77" s="39" t="s">
        <v>51</v>
      </c>
      <c r="C77" s="19"/>
      <c r="D77" s="19"/>
      <c r="E77" s="19"/>
      <c r="F77" s="40">
        <f>-262029.87-88236.9</f>
        <v>-350266.77</v>
      </c>
      <c r="G77" s="40" t="s">
        <v>40</v>
      </c>
      <c r="H77" s="19"/>
      <c r="I77" s="19"/>
    </row>
    <row r="78" spans="2:9" ht="12.75">
      <c r="B78" s="24" t="s">
        <v>52</v>
      </c>
      <c r="C78" s="19"/>
      <c r="D78" s="19"/>
      <c r="E78" s="19"/>
      <c r="F78" s="32"/>
      <c r="G78" s="19"/>
      <c r="H78" s="19"/>
      <c r="I78" s="19"/>
    </row>
    <row r="79" spans="2:9" ht="12.75">
      <c r="B79" s="24" t="s">
        <v>53</v>
      </c>
      <c r="C79" s="19"/>
      <c r="D79" s="19"/>
      <c r="E79" s="19"/>
      <c r="F79" s="32"/>
      <c r="G79" s="19"/>
      <c r="H79" s="19"/>
      <c r="I79" s="19"/>
    </row>
    <row r="80" spans="2:9" ht="12.75">
      <c r="B80" s="11"/>
      <c r="C80" s="19"/>
      <c r="D80" s="19"/>
      <c r="E80" s="19"/>
      <c r="F80" s="19"/>
      <c r="G80" s="19"/>
      <c r="H80" s="19"/>
      <c r="I80" s="19"/>
    </row>
    <row r="81" spans="2:9" ht="12.75">
      <c r="B81" s="11"/>
      <c r="C81" s="19"/>
      <c r="D81" s="19"/>
      <c r="E81" s="19"/>
      <c r="F81" s="19"/>
      <c r="G81" s="19"/>
      <c r="H81" s="19"/>
      <c r="I81" s="19"/>
    </row>
    <row r="82" spans="2:9" ht="12.75">
      <c r="B82" s="11"/>
      <c r="C82" s="19"/>
      <c r="D82" s="19"/>
      <c r="E82" s="19"/>
      <c r="F82" s="19"/>
      <c r="G82" s="19"/>
      <c r="H82" s="19"/>
      <c r="I82" s="19"/>
    </row>
    <row r="83" spans="2:9" ht="12.75">
      <c r="B83" s="11"/>
      <c r="C83" s="19"/>
      <c r="D83" s="19"/>
      <c r="E83" s="19"/>
      <c r="F83" s="19"/>
      <c r="G83" s="19"/>
      <c r="H83" s="19"/>
      <c r="I83" s="19"/>
    </row>
    <row r="84" spans="2:9" ht="12.75">
      <c r="B84" s="11"/>
      <c r="C84" s="19"/>
      <c r="D84" s="19"/>
      <c r="E84" s="19"/>
      <c r="F84" s="19"/>
      <c r="G84" s="19"/>
      <c r="H84" s="19"/>
      <c r="I84" s="19"/>
    </row>
    <row r="85" spans="1:3" s="11" customFormat="1" ht="12.75">
      <c r="A85" s="37"/>
      <c r="C85" s="21" t="s">
        <v>20</v>
      </c>
    </row>
    <row r="86" spans="2:9" ht="12.75">
      <c r="B86" s="11"/>
      <c r="C86" s="19"/>
      <c r="D86" s="19"/>
      <c r="E86" s="19"/>
      <c r="F86" s="19"/>
      <c r="G86" s="19"/>
      <c r="H86" s="19"/>
      <c r="I86" s="19"/>
    </row>
    <row r="87" spans="2:6" ht="15">
      <c r="B87" s="17"/>
      <c r="C87" s="16"/>
      <c r="D87" s="16"/>
      <c r="E87" s="16"/>
      <c r="F87" s="16"/>
    </row>
    <row r="88" spans="2:6" ht="14.25">
      <c r="B88" s="16"/>
      <c r="C88" s="16"/>
      <c r="D88" s="16"/>
      <c r="E88" s="16"/>
      <c r="F88" s="16"/>
    </row>
    <row r="89" spans="2:6" ht="14.25">
      <c r="B89" s="16"/>
      <c r="C89" s="16"/>
      <c r="D89" s="16"/>
      <c r="E89" s="16"/>
      <c r="F89" s="16"/>
    </row>
    <row r="90" spans="2:6" ht="14.25">
      <c r="B90" s="16"/>
      <c r="C90" s="16"/>
      <c r="D90" s="16"/>
      <c r="E90" s="16"/>
      <c r="F90" s="16"/>
    </row>
    <row r="91" spans="2:6" ht="14.25">
      <c r="B91" s="16"/>
      <c r="C91" s="16"/>
      <c r="D91" s="16"/>
      <c r="E91" s="16"/>
      <c r="F91" s="16"/>
    </row>
    <row r="92" spans="2:6" ht="14.25">
      <c r="B92" s="16"/>
      <c r="C92" s="16"/>
      <c r="D92" s="16"/>
      <c r="E92" s="16"/>
      <c r="F92" s="16"/>
    </row>
    <row r="93" spans="2:6" ht="14.25">
      <c r="B93" s="16"/>
      <c r="C93" s="16"/>
      <c r="D93" s="16"/>
      <c r="E93" s="16"/>
      <c r="F93" s="16"/>
    </row>
    <row r="94" spans="2:6" ht="14.25">
      <c r="B94" s="16"/>
      <c r="C94" s="16"/>
      <c r="D94" s="16"/>
      <c r="E94" s="16"/>
      <c r="F94" s="16"/>
    </row>
  </sheetData>
  <sheetProtection/>
  <mergeCells count="19">
    <mergeCell ref="B41:B42"/>
    <mergeCell ref="B13:G13"/>
    <mergeCell ref="B18:G18"/>
    <mergeCell ref="E39:E40"/>
    <mergeCell ref="C14:C16"/>
    <mergeCell ref="D14:D16"/>
    <mergeCell ref="E14:E16"/>
    <mergeCell ref="F14:F16"/>
    <mergeCell ref="B39:B40"/>
    <mergeCell ref="G39:G40"/>
    <mergeCell ref="G41:G42"/>
    <mergeCell ref="F39:F40"/>
    <mergeCell ref="G14:G16"/>
    <mergeCell ref="C41:C42"/>
    <mergeCell ref="D41:D42"/>
    <mergeCell ref="F41:F42"/>
    <mergeCell ref="C39:C40"/>
    <mergeCell ref="D39:D40"/>
    <mergeCell ref="E41:E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37">
      <selection activeCell="C44" sqref="C44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15"/>
      <c r="D1" s="15"/>
      <c r="E1" s="15"/>
      <c r="F1" s="15"/>
    </row>
    <row r="2" spans="1:6" ht="18.75">
      <c r="A2" s="42"/>
      <c r="B2" s="15"/>
      <c r="D2" s="2" t="s">
        <v>79</v>
      </c>
      <c r="E2" s="15"/>
      <c r="F2" s="15"/>
    </row>
    <row r="3" spans="2:6" ht="18.75">
      <c r="B3" s="15"/>
      <c r="D3" s="3" t="s">
        <v>45</v>
      </c>
      <c r="E3" s="15"/>
      <c r="F3" s="15"/>
    </row>
    <row r="4" spans="2:6" ht="15.75">
      <c r="B4" s="12"/>
      <c r="C4" s="14"/>
      <c r="D4" s="14"/>
      <c r="E4" s="14"/>
      <c r="F4" s="14"/>
    </row>
    <row r="5" spans="2:6" ht="15.75">
      <c r="B5" s="46" t="s">
        <v>54</v>
      </c>
      <c r="C5" s="14"/>
      <c r="D5" s="75">
        <v>247309.05</v>
      </c>
      <c r="E5" s="63"/>
      <c r="F5" s="14"/>
    </row>
    <row r="6" spans="2:6" ht="15">
      <c r="B6" s="38" t="s">
        <v>55</v>
      </c>
      <c r="C6" s="14"/>
      <c r="D6" s="14"/>
      <c r="E6" s="63"/>
      <c r="F6" s="14"/>
    </row>
    <row r="7" spans="2:6" ht="14.25">
      <c r="B7" s="24" t="s">
        <v>38</v>
      </c>
      <c r="C7" s="16"/>
      <c r="D7" s="16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4.25">
      <c r="B9" s="24"/>
      <c r="C9" s="16"/>
      <c r="D9" s="16"/>
      <c r="E9" s="16"/>
      <c r="F9" s="16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'[10]Sheet1'!$N$15</f>
        <v>212168</v>
      </c>
      <c r="D14" s="50">
        <f>'[10]Sheet1'!$R$15</f>
        <v>209768</v>
      </c>
      <c r="E14" s="50">
        <f>D14-C14</f>
        <v>-2400</v>
      </c>
      <c r="F14" s="50">
        <f>'[10]Sheet1'!$T$15</f>
        <v>212168</v>
      </c>
      <c r="G14" s="71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70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69"/>
      <c r="H16" s="62"/>
      <c r="I16" s="62"/>
    </row>
    <row r="17" spans="2:9" ht="13.5" thickBot="1">
      <c r="B17" s="6" t="s">
        <v>7</v>
      </c>
      <c r="C17" s="26">
        <f>C14</f>
        <v>212168</v>
      </c>
      <c r="D17" s="26">
        <f>D14</f>
        <v>209768</v>
      </c>
      <c r="E17" s="26">
        <f>E14</f>
        <v>-2400</v>
      </c>
      <c r="F17" s="26">
        <f>F14</f>
        <v>212168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70</v>
      </c>
      <c r="C19" s="25">
        <f>'[10]Sheet1'!$N$17</f>
        <v>1059</v>
      </c>
      <c r="D19" s="25">
        <f>'[10]Sheet1'!$R$17</f>
        <v>1047</v>
      </c>
      <c r="E19" s="25">
        <f>D19-C19</f>
        <v>-12</v>
      </c>
      <c r="F19" s="25">
        <f>C19</f>
        <v>1059</v>
      </c>
      <c r="G19" s="25">
        <f>C19-F19</f>
        <v>0</v>
      </c>
      <c r="H19" s="62"/>
      <c r="I19" s="62"/>
    </row>
    <row r="20" spans="2:9" ht="27" customHeight="1" thickBot="1">
      <c r="B20" s="10" t="s">
        <v>9</v>
      </c>
      <c r="C20" s="25">
        <f>'[10]Sheet1'!$N$18</f>
        <v>67540</v>
      </c>
      <c r="D20" s="25">
        <f>'[10]Sheet1'!$R$18</f>
        <v>66776</v>
      </c>
      <c r="E20" s="25">
        <f>D20-C20</f>
        <v>-764</v>
      </c>
      <c r="F20" s="25">
        <f>'[10]Sheet1'!$T$18</f>
        <v>67540</v>
      </c>
      <c r="G20" s="25">
        <f>C20-F20</f>
        <v>0</v>
      </c>
      <c r="H20" s="62"/>
      <c r="I20" s="62"/>
    </row>
    <row r="21" spans="2:9" ht="19.5" customHeight="1" thickBot="1">
      <c r="B21" s="10" t="s">
        <v>10</v>
      </c>
      <c r="C21" s="25">
        <f>'[10]Sheet1'!$N$19</f>
        <v>4493</v>
      </c>
      <c r="D21" s="25">
        <f>'[10]Sheet1'!$R$19</f>
        <v>4442</v>
      </c>
      <c r="E21" s="25">
        <f>D21-C21</f>
        <v>-51</v>
      </c>
      <c r="F21" s="25">
        <f>'[10]Sheet1'!$T$19</f>
        <v>4493</v>
      </c>
      <c r="G21" s="25">
        <f>C21-F21</f>
        <v>0</v>
      </c>
      <c r="H21" s="62"/>
      <c r="I21" s="62"/>
    </row>
    <row r="22" spans="2:9" ht="21" customHeight="1" thickBot="1">
      <c r="B22" s="10" t="s">
        <v>11</v>
      </c>
      <c r="C22" s="25">
        <f>'[10]Sheet1'!$N$20</f>
        <v>19978</v>
      </c>
      <c r="D22" s="25">
        <f>'[10]Sheet1'!$R$20</f>
        <v>19752</v>
      </c>
      <c r="E22" s="25">
        <f>D22-C22</f>
        <v>-226</v>
      </c>
      <c r="F22" s="25">
        <f>'[10]Sheet1'!$T$20</f>
        <v>19978</v>
      </c>
      <c r="G22" s="25">
        <f>C22-F22</f>
        <v>0</v>
      </c>
      <c r="H22" s="62"/>
      <c r="I22" s="62"/>
    </row>
    <row r="23" spans="2:9" ht="25.5" customHeight="1" thickBot="1">
      <c r="B23" s="10" t="s">
        <v>12</v>
      </c>
      <c r="C23" s="25">
        <f>'[10]Sheet1'!$N$22+'[10]Sheet1'!$N$23</f>
        <v>77799</v>
      </c>
      <c r="D23" s="25">
        <f>'[10]Sheet1'!$R$22+'[10]Sheet1'!$R$23</f>
        <v>76919</v>
      </c>
      <c r="E23" s="25">
        <f>D23-C23</f>
        <v>-880</v>
      </c>
      <c r="F23" s="25">
        <f>'[10]Sheet1'!$T$22+'[10]Sheet1'!$T$23</f>
        <v>54684</v>
      </c>
      <c r="G23" s="25">
        <f>C23-F23</f>
        <v>23115</v>
      </c>
      <c r="H23" s="62"/>
      <c r="I23" s="62"/>
    </row>
    <row r="24" spans="2:9" ht="17.25" customHeight="1" thickBot="1">
      <c r="B24" s="10" t="s">
        <v>60</v>
      </c>
      <c r="C24" s="25">
        <f>'[10]Sheet1'!$N$25</f>
        <v>305618</v>
      </c>
      <c r="D24" s="25">
        <f>'[10]Sheet1'!$R$25</f>
        <v>302161</v>
      </c>
      <c r="E24" s="25">
        <f>D24-C24</f>
        <v>-3457</v>
      </c>
      <c r="F24" s="25">
        <f>C24</f>
        <v>305618</v>
      </c>
      <c r="G24" s="25">
        <f>C24-F24</f>
        <v>0</v>
      </c>
      <c r="H24" s="62"/>
      <c r="I24" s="62"/>
    </row>
    <row r="25" spans="2:9" ht="17.25" customHeight="1" thickBot="1">
      <c r="B25" s="10" t="s">
        <v>61</v>
      </c>
      <c r="C25" s="25">
        <f>'[10]Sheet1'!$N$24</f>
        <v>91535</v>
      </c>
      <c r="D25" s="25">
        <f>'[10]Sheet1'!$R$24</f>
        <v>90500</v>
      </c>
      <c r="E25" s="25">
        <f>D25-C25</f>
        <v>-1035</v>
      </c>
      <c r="F25" s="25">
        <f>C25</f>
        <v>91535</v>
      </c>
      <c r="G25" s="25">
        <f>C25-F25</f>
        <v>0</v>
      </c>
      <c r="H25" s="62"/>
      <c r="I25" s="62"/>
    </row>
    <row r="26" spans="2:9" ht="25.5" customHeight="1" thickBot="1">
      <c r="B26" s="10" t="s">
        <v>13</v>
      </c>
      <c r="C26" s="25">
        <f>'[10]Sheet1'!$N$26</f>
        <v>189752</v>
      </c>
      <c r="D26" s="25">
        <f>'[10]Sheet1'!$R$26</f>
        <v>187605</v>
      </c>
      <c r="E26" s="25">
        <f>D26-C26</f>
        <v>-2147</v>
      </c>
      <c r="F26" s="25">
        <f>'[10]Sheet1'!$T$26</f>
        <v>189752</v>
      </c>
      <c r="G26" s="25">
        <f>C26-F26</f>
        <v>0</v>
      </c>
      <c r="H26" s="62"/>
      <c r="I26" s="62"/>
    </row>
    <row r="27" spans="2:9" ht="25.5" customHeight="1" thickBot="1">
      <c r="B27" s="10" t="s">
        <v>14</v>
      </c>
      <c r="C27" s="25">
        <f>'[10]Sheet1'!$N$41+'[10]Sheet1'!$N$42</f>
        <v>19888</v>
      </c>
      <c r="D27" s="25">
        <f>'[10]Sheet1'!$R$41+'[10]Sheet1'!$R$42</f>
        <v>19664</v>
      </c>
      <c r="E27" s="25">
        <f>D27-C27</f>
        <v>-224</v>
      </c>
      <c r="F27" s="25">
        <f>'[10]Sheet1'!$T$41+'[10]Sheet1'!$T$42</f>
        <v>19888</v>
      </c>
      <c r="G27" s="25">
        <f>C27-F27</f>
        <v>0</v>
      </c>
      <c r="H27" s="62"/>
      <c r="I27" s="62"/>
    </row>
    <row r="28" spans="2:9" ht="13.5" thickBot="1">
      <c r="B28" s="6" t="s">
        <v>7</v>
      </c>
      <c r="C28" s="26">
        <f>SUM(C19:C27)</f>
        <v>777662</v>
      </c>
      <c r="D28" s="26">
        <f>SUM(D19:D27)</f>
        <v>768866</v>
      </c>
      <c r="E28" s="26">
        <f>SUM(E19:E27)</f>
        <v>-8796</v>
      </c>
      <c r="F28" s="26">
        <f>SUM(F19:F27)</f>
        <v>754547</v>
      </c>
      <c r="G28" s="26">
        <f>SUM(G19:G27)</f>
        <v>23115</v>
      </c>
      <c r="H28" s="62"/>
      <c r="I28" s="62"/>
    </row>
    <row r="29" spans="2:9" ht="13.5" thickBot="1">
      <c r="B29" s="7" t="s">
        <v>15</v>
      </c>
      <c r="C29" s="26">
        <f>C17+C28</f>
        <v>989830</v>
      </c>
      <c r="D29" s="26">
        <f>D17+D28</f>
        <v>978634</v>
      </c>
      <c r="E29" s="26">
        <f>E17+E28</f>
        <v>-11196</v>
      </c>
      <c r="F29" s="26">
        <f>F17+F28</f>
        <v>966715</v>
      </c>
      <c r="G29" s="26">
        <f>G17+G28</f>
        <v>23115</v>
      </c>
      <c r="H29" s="62"/>
      <c r="I29" s="62"/>
    </row>
    <row r="30" spans="2:9" ht="12.75">
      <c r="B30" s="11"/>
      <c r="C30" s="62"/>
      <c r="D30" s="62"/>
      <c r="E30" s="62"/>
      <c r="F30" s="62"/>
      <c r="G30" s="62"/>
      <c r="H30" s="62"/>
      <c r="I30" s="62"/>
    </row>
    <row r="31" spans="2:9" ht="13.5" thickBot="1">
      <c r="B31" s="18" t="s">
        <v>47</v>
      </c>
      <c r="C31" s="62"/>
      <c r="D31" s="62"/>
      <c r="E31" s="62"/>
      <c r="F31" s="62"/>
      <c r="G31" s="62"/>
      <c r="H31" s="62"/>
      <c r="I31" s="62"/>
    </row>
    <row r="32" spans="2:9" ht="105" customHeight="1" thickBot="1">
      <c r="B32" s="22" t="s">
        <v>3</v>
      </c>
      <c r="C32" s="22" t="s">
        <v>28</v>
      </c>
      <c r="D32" s="23" t="s">
        <v>23</v>
      </c>
      <c r="E32" s="23" t="s">
        <v>31</v>
      </c>
      <c r="F32" s="22" t="s">
        <v>16</v>
      </c>
      <c r="G32" s="22" t="s">
        <v>29</v>
      </c>
      <c r="H32" s="62"/>
      <c r="I32" s="62"/>
    </row>
    <row r="33" spans="2:9" ht="13.5" customHeight="1" thickBot="1">
      <c r="B33" s="43">
        <v>1</v>
      </c>
      <c r="C33" s="44">
        <v>2</v>
      </c>
      <c r="D33" s="44">
        <v>3</v>
      </c>
      <c r="E33" s="44" t="s">
        <v>42</v>
      </c>
      <c r="F33" s="44">
        <v>5</v>
      </c>
      <c r="G33" s="45" t="s">
        <v>43</v>
      </c>
      <c r="H33" s="62"/>
      <c r="I33" s="62"/>
    </row>
    <row r="34" spans="2:9" ht="38.25" customHeight="1" thickBot="1">
      <c r="B34" s="10" t="s">
        <v>17</v>
      </c>
      <c r="C34" s="28">
        <f>'[10]Sheet1'!$N$12</f>
        <v>431330</v>
      </c>
      <c r="D34" s="28">
        <f>'[10]Sheet1'!$R$12</f>
        <v>426450</v>
      </c>
      <c r="E34" s="28">
        <f>D34-C34</f>
        <v>-4880</v>
      </c>
      <c r="F34" s="28">
        <f>'[10]Sheet1'!$U$12</f>
        <v>194865</v>
      </c>
      <c r="G34" s="28">
        <f>C34-F34</f>
        <v>236465</v>
      </c>
      <c r="H34" s="65"/>
      <c r="I34" s="62"/>
    </row>
    <row r="35" spans="2:9" ht="13.5" thickBot="1">
      <c r="B35" s="6" t="s">
        <v>18</v>
      </c>
      <c r="C35" s="29">
        <f>C34</f>
        <v>431330</v>
      </c>
      <c r="D35" s="29">
        <f>D34</f>
        <v>426450</v>
      </c>
      <c r="E35" s="29">
        <f>E34</f>
        <v>-4880</v>
      </c>
      <c r="F35" s="29">
        <f>F34</f>
        <v>194865</v>
      </c>
      <c r="G35" s="29">
        <f>G34</f>
        <v>236465</v>
      </c>
      <c r="H35" s="62"/>
      <c r="I35" s="62"/>
    </row>
    <row r="36" spans="2:9" ht="12.75">
      <c r="B36" s="13"/>
      <c r="C36" s="62"/>
      <c r="D36" s="62"/>
      <c r="E36" s="62"/>
      <c r="F36" s="62"/>
      <c r="G36" s="62"/>
      <c r="H36" s="62"/>
      <c r="I36" s="62"/>
    </row>
    <row r="37" spans="2:9" ht="13.5" thickBot="1">
      <c r="B37" s="18" t="s">
        <v>30</v>
      </c>
      <c r="C37" s="62"/>
      <c r="D37" s="62"/>
      <c r="E37" s="62"/>
      <c r="F37" s="62"/>
      <c r="G37" s="62"/>
      <c r="H37" s="62"/>
      <c r="I37" s="62"/>
    </row>
    <row r="38" spans="2:9" ht="103.5" customHeight="1" thickBot="1">
      <c r="B38" s="22" t="s">
        <v>3</v>
      </c>
      <c r="C38" s="5" t="s">
        <v>25</v>
      </c>
      <c r="D38" s="8" t="s">
        <v>26</v>
      </c>
      <c r="E38" s="23" t="s">
        <v>31</v>
      </c>
      <c r="F38" s="5" t="s">
        <v>27</v>
      </c>
      <c r="G38" s="22" t="s">
        <v>29</v>
      </c>
      <c r="H38" s="62"/>
      <c r="I38" s="62"/>
    </row>
    <row r="39" spans="2:9" ht="13.5" customHeight="1" thickBot="1">
      <c r="B39" s="43">
        <v>1</v>
      </c>
      <c r="C39" s="44">
        <v>2</v>
      </c>
      <c r="D39" s="44">
        <v>3</v>
      </c>
      <c r="E39" s="44" t="s">
        <v>42</v>
      </c>
      <c r="F39" s="44">
        <v>5</v>
      </c>
      <c r="G39" s="45" t="s">
        <v>43</v>
      </c>
      <c r="H39" s="62"/>
      <c r="I39" s="62"/>
    </row>
    <row r="40" spans="2:9" ht="16.5" customHeight="1">
      <c r="B40" s="54" t="s">
        <v>46</v>
      </c>
      <c r="C40" s="50">
        <f>'[10]Sheet1'!$N$33</f>
        <v>500526</v>
      </c>
      <c r="D40" s="50">
        <f>'[10]Sheet1'!$R$33</f>
        <v>494864</v>
      </c>
      <c r="E40" s="50">
        <f>D40-C40</f>
        <v>-5662</v>
      </c>
      <c r="F40" s="50">
        <f>'[10]Sheet1'!$T$33</f>
        <v>619015</v>
      </c>
      <c r="G40" s="50">
        <f>C40-F40</f>
        <v>-118489</v>
      </c>
      <c r="H40" s="62"/>
      <c r="I40" s="62"/>
    </row>
    <row r="41" spans="2:9" ht="24" customHeight="1" thickBot="1">
      <c r="B41" s="55"/>
      <c r="C41" s="51"/>
      <c r="D41" s="51"/>
      <c r="E41" s="51"/>
      <c r="F41" s="51"/>
      <c r="G41" s="51"/>
      <c r="H41" s="62"/>
      <c r="I41" s="62"/>
    </row>
    <row r="42" spans="2:9" ht="17.25" customHeight="1">
      <c r="B42" s="54" t="s">
        <v>44</v>
      </c>
      <c r="C42" s="50">
        <f>2276452.66-135658.37</f>
        <v>2140794.29</v>
      </c>
      <c r="D42" s="50">
        <v>2095356.4</v>
      </c>
      <c r="E42" s="50">
        <f>D42-C42</f>
        <v>-45437.89000000013</v>
      </c>
      <c r="F42" s="50">
        <f>C42</f>
        <v>2140794.29</v>
      </c>
      <c r="G42" s="50">
        <f>C42-F42</f>
        <v>0</v>
      </c>
      <c r="H42" s="62"/>
      <c r="I42" s="62"/>
    </row>
    <row r="43" spans="2:9" ht="13.5" thickBot="1">
      <c r="B43" s="55"/>
      <c r="C43" s="51"/>
      <c r="D43" s="51"/>
      <c r="E43" s="51"/>
      <c r="F43" s="51"/>
      <c r="G43" s="51"/>
      <c r="H43" s="62"/>
      <c r="I43" s="62"/>
    </row>
    <row r="44" spans="2:9" ht="13.5" thickBot="1">
      <c r="B44" s="7" t="s">
        <v>19</v>
      </c>
      <c r="C44" s="29">
        <f>C40+C42</f>
        <v>2641320.29</v>
      </c>
      <c r="D44" s="29">
        <f>D40+D42</f>
        <v>2590220.4</v>
      </c>
      <c r="E44" s="29">
        <f>E40+E42</f>
        <v>-51099.89000000013</v>
      </c>
      <c r="F44" s="29">
        <f>F40+F42</f>
        <v>2759809.29</v>
      </c>
      <c r="G44" s="29">
        <f>G40+G42</f>
        <v>-118489</v>
      </c>
      <c r="H44" s="62"/>
      <c r="I44" s="62"/>
    </row>
    <row r="45" spans="2:9" ht="12.75">
      <c r="B45" s="11"/>
      <c r="C45" s="62"/>
      <c r="D45" s="62"/>
      <c r="E45" s="62"/>
      <c r="F45" s="62"/>
      <c r="G45" s="62"/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20" t="s">
        <v>62</v>
      </c>
      <c r="C47" s="62"/>
      <c r="D47" s="62"/>
      <c r="E47" s="62"/>
      <c r="F47" s="62"/>
      <c r="G47" s="31">
        <f>F49+F50</f>
        <v>-67175.89000000013</v>
      </c>
      <c r="H47" s="62"/>
      <c r="I47" s="62"/>
    </row>
    <row r="48" spans="2:9" ht="12.75">
      <c r="B48" s="30" t="s">
        <v>32</v>
      </c>
      <c r="C48" s="65"/>
      <c r="D48" s="62"/>
      <c r="E48" s="62"/>
      <c r="F48" s="62"/>
      <c r="G48" s="62"/>
      <c r="H48" s="62"/>
      <c r="I48" s="62"/>
    </row>
    <row r="49" spans="2:9" ht="12.75">
      <c r="B49" s="38" t="s">
        <v>67</v>
      </c>
      <c r="C49" s="62"/>
      <c r="D49" s="62"/>
      <c r="E49" s="62"/>
      <c r="F49" s="32">
        <f>(E29+E35)</f>
        <v>-16076</v>
      </c>
      <c r="G49" s="62"/>
      <c r="H49" s="62"/>
      <c r="I49" s="62"/>
    </row>
    <row r="50" spans="2:9" ht="12.75">
      <c r="B50" s="38" t="s">
        <v>64</v>
      </c>
      <c r="C50" s="62"/>
      <c r="D50" s="62"/>
      <c r="E50" s="62"/>
      <c r="F50" s="32">
        <f>(E44)</f>
        <v>-51099.89000000013</v>
      </c>
      <c r="G50" s="62"/>
      <c r="H50" s="62"/>
      <c r="I50" s="62"/>
    </row>
    <row r="51" spans="2:9" ht="12.75">
      <c r="B51" s="38"/>
      <c r="C51" s="62"/>
      <c r="D51" s="62"/>
      <c r="E51" s="62"/>
      <c r="F51" s="32"/>
      <c r="G51" s="62"/>
      <c r="H51" s="62"/>
      <c r="I51" s="62"/>
    </row>
    <row r="52" spans="2:9" s="33" customFormat="1" ht="12.75">
      <c r="B52" s="34" t="s">
        <v>35</v>
      </c>
      <c r="C52" s="66"/>
      <c r="D52" s="66"/>
      <c r="E52" s="67"/>
      <c r="F52" s="37"/>
      <c r="G52" s="31">
        <f>F54+F55</f>
        <v>-118489</v>
      </c>
      <c r="H52" s="66"/>
      <c r="I52" s="66"/>
    </row>
    <row r="53" spans="2:9" s="33" customFormat="1" ht="12.75">
      <c r="B53" s="30" t="s">
        <v>32</v>
      </c>
      <c r="C53" s="66"/>
      <c r="D53" s="66"/>
      <c r="E53" s="67"/>
      <c r="F53" s="37"/>
      <c r="G53" s="41"/>
      <c r="H53" s="66"/>
      <c r="I53" s="66"/>
    </row>
    <row r="54" spans="2:9" s="33" customFormat="1" ht="12.75">
      <c r="B54" s="38" t="s">
        <v>36</v>
      </c>
      <c r="C54" s="66"/>
      <c r="D54" s="66"/>
      <c r="E54" s="67"/>
      <c r="F54" s="32">
        <f>IF((G29+G35)&lt;=0,G29+G35,0)</f>
        <v>0</v>
      </c>
      <c r="G54" s="41"/>
      <c r="H54" s="66"/>
      <c r="I54" s="66"/>
    </row>
    <row r="55" spans="2:9" s="33" customFormat="1" ht="12.75">
      <c r="B55" s="38" t="s">
        <v>37</v>
      </c>
      <c r="C55" s="66"/>
      <c r="D55" s="66"/>
      <c r="E55" s="67"/>
      <c r="F55" s="32">
        <f>IF(G44&lt;=0,G44,0)</f>
        <v>-118489</v>
      </c>
      <c r="G55" s="41"/>
      <c r="H55" s="66"/>
      <c r="I55" s="66"/>
    </row>
    <row r="56" spans="2:9" s="33" customFormat="1" ht="12.75">
      <c r="B56" s="38"/>
      <c r="C56" s="66"/>
      <c r="D56" s="66"/>
      <c r="E56" s="67"/>
      <c r="F56" s="37"/>
      <c r="G56" s="41"/>
      <c r="H56" s="66"/>
      <c r="I56" s="66"/>
    </row>
    <row r="57" spans="2:9" s="33" customFormat="1" ht="12.75">
      <c r="B57" s="34" t="s">
        <v>65</v>
      </c>
      <c r="C57" s="66"/>
      <c r="D57" s="66"/>
      <c r="E57" s="67"/>
      <c r="F57" s="37"/>
      <c r="G57" s="31">
        <f>F59+F60</f>
        <v>259580</v>
      </c>
      <c r="H57" s="66"/>
      <c r="I57" s="66"/>
    </row>
    <row r="58" spans="2:9" ht="12.75">
      <c r="B58" s="30" t="s">
        <v>32</v>
      </c>
      <c r="C58" s="62"/>
      <c r="D58" s="62"/>
      <c r="E58" s="62"/>
      <c r="F58" s="11"/>
      <c r="G58" s="41"/>
      <c r="H58" s="62"/>
      <c r="I58" s="62"/>
    </row>
    <row r="59" spans="2:9" ht="12.75">
      <c r="B59" s="38" t="s">
        <v>36</v>
      </c>
      <c r="C59" s="62"/>
      <c r="D59" s="62"/>
      <c r="E59" s="62"/>
      <c r="F59" s="32">
        <f>IF((G29+G35)&gt;0,G29+G35,0)</f>
        <v>259580</v>
      </c>
      <c r="G59" s="62"/>
      <c r="H59" s="62"/>
      <c r="I59" s="62"/>
    </row>
    <row r="60" spans="2:9" ht="12.75">
      <c r="B60" s="38" t="s">
        <v>37</v>
      </c>
      <c r="C60" s="62"/>
      <c r="D60" s="62"/>
      <c r="E60" s="62"/>
      <c r="F60" s="32">
        <f>IF(G44&gt;0,G44,0)</f>
        <v>0</v>
      </c>
      <c r="G60" s="62"/>
      <c r="H60" s="62"/>
      <c r="I60" s="62"/>
    </row>
    <row r="61" spans="2:9" ht="12.75">
      <c r="B61" s="38"/>
      <c r="C61" s="62"/>
      <c r="D61" s="62"/>
      <c r="E61" s="62"/>
      <c r="F61" s="32"/>
      <c r="G61" s="62"/>
      <c r="H61" s="62"/>
      <c r="I61" s="62"/>
    </row>
    <row r="62" spans="2:9" ht="12.75">
      <c r="B62" s="49" t="s">
        <v>57</v>
      </c>
      <c r="C62" s="19"/>
      <c r="D62" s="19"/>
      <c r="E62" s="19"/>
      <c r="F62" s="11"/>
      <c r="G62" s="19"/>
      <c r="H62" s="19"/>
      <c r="I62" s="19"/>
    </row>
    <row r="63" spans="2:9" ht="12.75">
      <c r="B63" s="11" t="s">
        <v>58</v>
      </c>
      <c r="C63" s="19"/>
      <c r="D63" s="19"/>
      <c r="E63" s="48"/>
      <c r="F63" s="37"/>
      <c r="G63" s="31">
        <f>1220.87+400+700+2400*3</f>
        <v>9520.869999999999</v>
      </c>
      <c r="H63" s="19"/>
      <c r="I63" s="19"/>
    </row>
    <row r="64" spans="2:9" ht="12.75">
      <c r="B64" s="18"/>
      <c r="C64" s="19"/>
      <c r="D64" s="19"/>
      <c r="E64" s="19"/>
      <c r="F64" s="19"/>
      <c r="G64" s="19"/>
      <c r="H64" s="19"/>
      <c r="I64" s="19"/>
    </row>
    <row r="65" spans="2:9" ht="12.75">
      <c r="B65" s="38"/>
      <c r="C65" s="19"/>
      <c r="D65" s="19"/>
      <c r="E65" s="19"/>
      <c r="F65" s="32"/>
      <c r="G65" s="19"/>
      <c r="H65" s="19"/>
      <c r="I65" s="19"/>
    </row>
    <row r="66" spans="2:9" ht="15.75">
      <c r="B66" s="39" t="s">
        <v>49</v>
      </c>
      <c r="C66" s="19"/>
      <c r="D66" s="19"/>
      <c r="E66" s="19"/>
      <c r="F66" s="40">
        <f>G52+G57+G63</f>
        <v>150611.87</v>
      </c>
      <c r="G66" s="40" t="s">
        <v>40</v>
      </c>
      <c r="H66" s="19"/>
      <c r="I66" s="19"/>
    </row>
    <row r="67" spans="2:9" ht="12.75">
      <c r="B67" s="24" t="s">
        <v>38</v>
      </c>
      <c r="C67" s="19"/>
      <c r="D67" s="19"/>
      <c r="E67" s="19"/>
      <c r="F67" s="32"/>
      <c r="G67" s="19"/>
      <c r="H67" s="19"/>
      <c r="I67" s="19"/>
    </row>
    <row r="68" spans="2:9" ht="12.75">
      <c r="B68" s="24" t="s">
        <v>39</v>
      </c>
      <c r="C68" s="19"/>
      <c r="D68" s="19"/>
      <c r="E68" s="19"/>
      <c r="F68" s="32"/>
      <c r="G68" s="19"/>
      <c r="H68" s="19"/>
      <c r="I68" s="19"/>
    </row>
    <row r="69" spans="2:9" ht="12.75">
      <c r="B69" s="38"/>
      <c r="C69" s="19"/>
      <c r="D69" s="19"/>
      <c r="E69" s="19"/>
      <c r="F69" s="32"/>
      <c r="G69" s="19"/>
      <c r="H69" s="19"/>
      <c r="I69" s="19"/>
    </row>
    <row r="70" spans="2:9" ht="15.75">
      <c r="B70" s="39" t="s">
        <v>50</v>
      </c>
      <c r="C70" s="19"/>
      <c r="D70" s="19"/>
      <c r="E70" s="19"/>
      <c r="F70" s="40">
        <f>G47</f>
        <v>-67175.89000000013</v>
      </c>
      <c r="G70" s="40" t="s">
        <v>40</v>
      </c>
      <c r="H70" s="19"/>
      <c r="I70" s="19"/>
    </row>
    <row r="71" spans="2:9" ht="12.75">
      <c r="B71" s="24" t="s">
        <v>52</v>
      </c>
      <c r="C71" s="19"/>
      <c r="D71" s="19"/>
      <c r="E71" s="19"/>
      <c r="F71" s="32"/>
      <c r="G71" s="19"/>
      <c r="H71" s="19"/>
      <c r="I71" s="19"/>
    </row>
    <row r="72" spans="2:9" ht="12.75">
      <c r="B72" s="24" t="s">
        <v>53</v>
      </c>
      <c r="C72" s="19"/>
      <c r="D72" s="19"/>
      <c r="E72" s="19"/>
      <c r="F72" s="32"/>
      <c r="G72" s="19"/>
      <c r="H72" s="19"/>
      <c r="I72" s="19"/>
    </row>
    <row r="73" spans="2:9" ht="12.75">
      <c r="B73" s="13"/>
      <c r="C73" s="19"/>
      <c r="D73" s="19"/>
      <c r="E73" s="19"/>
      <c r="F73" s="19"/>
      <c r="G73" s="19"/>
      <c r="H73" s="19"/>
      <c r="I73" s="19"/>
    </row>
    <row r="74" spans="2:9" ht="15.75">
      <c r="B74" s="39" t="s">
        <v>56</v>
      </c>
      <c r="C74" s="19"/>
      <c r="D74" s="19"/>
      <c r="E74" s="19"/>
      <c r="F74" s="40">
        <f>D5+F66</f>
        <v>397920.92</v>
      </c>
      <c r="G74" s="40" t="s">
        <v>40</v>
      </c>
      <c r="H74" s="19"/>
      <c r="I74" s="19"/>
    </row>
    <row r="75" spans="2:9" ht="12.75">
      <c r="B75" s="24" t="s">
        <v>38</v>
      </c>
      <c r="C75" s="19"/>
      <c r="D75" s="19"/>
      <c r="E75" s="19"/>
      <c r="F75" s="32"/>
      <c r="G75" s="19"/>
      <c r="H75" s="19"/>
      <c r="I75" s="19"/>
    </row>
    <row r="76" spans="2:9" ht="12.75">
      <c r="B76" s="24" t="s">
        <v>39</v>
      </c>
      <c r="C76" s="19"/>
      <c r="D76" s="19"/>
      <c r="E76" s="19"/>
      <c r="F76" s="32"/>
      <c r="G76" s="19"/>
      <c r="H76" s="19"/>
      <c r="I76" s="19"/>
    </row>
    <row r="77" spans="2:9" ht="12.75">
      <c r="B77" s="38"/>
      <c r="C77" s="19"/>
      <c r="D77" s="19"/>
      <c r="E77" s="19"/>
      <c r="F77" s="32"/>
      <c r="G77" s="19"/>
      <c r="H77" s="19"/>
      <c r="I77" s="19"/>
    </row>
    <row r="78" spans="2:9" ht="15.75">
      <c r="B78" s="39" t="s">
        <v>51</v>
      </c>
      <c r="C78" s="19"/>
      <c r="D78" s="19"/>
      <c r="E78" s="19"/>
      <c r="F78" s="40">
        <f>-377157.12-180517.17</f>
        <v>-557674.29</v>
      </c>
      <c r="G78" s="40" t="s">
        <v>40</v>
      </c>
      <c r="H78" s="19"/>
      <c r="I78" s="19"/>
    </row>
    <row r="79" spans="2:9" ht="12.75">
      <c r="B79" s="24" t="s">
        <v>52</v>
      </c>
      <c r="C79" s="19"/>
      <c r="D79" s="19"/>
      <c r="E79" s="19"/>
      <c r="F79" s="32"/>
      <c r="G79" s="19"/>
      <c r="H79" s="19"/>
      <c r="I79" s="19"/>
    </row>
    <row r="80" spans="2:9" ht="12.75">
      <c r="B80" s="24" t="s">
        <v>53</v>
      </c>
      <c r="C80" s="19"/>
      <c r="D80" s="19"/>
      <c r="E80" s="19"/>
      <c r="F80" s="32"/>
      <c r="G80" s="19"/>
      <c r="H80" s="19"/>
      <c r="I80" s="19"/>
    </row>
    <row r="81" spans="2:9" ht="12.75">
      <c r="B81" s="38"/>
      <c r="C81" s="62"/>
      <c r="D81" s="62"/>
      <c r="E81" s="62"/>
      <c r="F81" s="32"/>
      <c r="G81" s="62"/>
      <c r="H81" s="62"/>
      <c r="I81" s="62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9" ht="12.75">
      <c r="B84" s="11"/>
      <c r="C84" s="21" t="s">
        <v>20</v>
      </c>
      <c r="D84" s="11"/>
      <c r="E84" s="62"/>
      <c r="F84" s="62"/>
      <c r="G84" s="62"/>
      <c r="H84" s="62"/>
      <c r="I84" s="62"/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2:9" ht="12.75">
      <c r="B86" s="11"/>
      <c r="C86" s="62"/>
      <c r="D86" s="62"/>
      <c r="E86" s="62"/>
      <c r="F86" s="62"/>
      <c r="G86" s="62"/>
      <c r="H86" s="62"/>
      <c r="I86" s="62"/>
    </row>
    <row r="87" spans="2:9" ht="12.75">
      <c r="B87" s="11"/>
      <c r="C87" s="62"/>
      <c r="D87" s="62"/>
      <c r="E87" s="62"/>
      <c r="F87" s="62"/>
      <c r="G87" s="62"/>
      <c r="H87" s="62"/>
      <c r="I87" s="62"/>
    </row>
    <row r="88" s="11" customFormat="1" ht="12.75">
      <c r="A88" s="37"/>
    </row>
    <row r="89" spans="2:9" ht="12.75">
      <c r="B89" s="11"/>
      <c r="C89" s="62"/>
      <c r="D89" s="62"/>
      <c r="E89" s="62"/>
      <c r="F89" s="62"/>
      <c r="G89" s="62"/>
      <c r="H89" s="62"/>
      <c r="I89" s="62"/>
    </row>
    <row r="90" spans="2:6" ht="15">
      <c r="B90" s="17"/>
      <c r="C90" s="16"/>
      <c r="D90" s="16"/>
      <c r="E90" s="16"/>
      <c r="F90" s="16"/>
    </row>
    <row r="91" spans="2:6" ht="14.25">
      <c r="B91" s="16"/>
      <c r="C91" s="16"/>
      <c r="D91" s="16"/>
      <c r="E91" s="16"/>
      <c r="F91" s="16"/>
    </row>
    <row r="92" spans="2:6" ht="14.25">
      <c r="B92" s="16"/>
      <c r="C92" s="16"/>
      <c r="D92" s="16"/>
      <c r="E92" s="16"/>
      <c r="F92" s="16"/>
    </row>
    <row r="93" spans="2:6" ht="14.25">
      <c r="B93" s="16"/>
      <c r="C93" s="16"/>
      <c r="D93" s="16"/>
      <c r="E93" s="16"/>
      <c r="F93" s="16"/>
    </row>
    <row r="94" spans="2:6" ht="14.25">
      <c r="B94" s="16"/>
      <c r="C94" s="16"/>
      <c r="D94" s="16"/>
      <c r="E94" s="16"/>
      <c r="F94" s="16"/>
    </row>
    <row r="95" spans="2:6" ht="14.25">
      <c r="B95" s="16"/>
      <c r="C95" s="16"/>
      <c r="D95" s="16"/>
      <c r="E95" s="16"/>
      <c r="F95" s="16"/>
    </row>
    <row r="96" spans="2:6" ht="14.25">
      <c r="B96" s="16"/>
      <c r="C96" s="16"/>
      <c r="D96" s="16"/>
      <c r="E96" s="16"/>
      <c r="F96" s="16"/>
    </row>
    <row r="97" spans="2:6" ht="14.25">
      <c r="B97" s="16"/>
      <c r="C97" s="16"/>
      <c r="D97" s="16"/>
      <c r="E97" s="16"/>
      <c r="F97" s="16"/>
    </row>
  </sheetData>
  <sheetProtection/>
  <mergeCells count="19">
    <mergeCell ref="G42:G43"/>
    <mergeCell ref="F40:F41"/>
    <mergeCell ref="G14:G16"/>
    <mergeCell ref="C42:C43"/>
    <mergeCell ref="D42:D43"/>
    <mergeCell ref="F42:F43"/>
    <mergeCell ref="C40:C41"/>
    <mergeCell ref="D40:D41"/>
    <mergeCell ref="E42:E43"/>
    <mergeCell ref="B42:B43"/>
    <mergeCell ref="B13:G13"/>
    <mergeCell ref="B18:G18"/>
    <mergeCell ref="E40:E41"/>
    <mergeCell ref="C14:C16"/>
    <mergeCell ref="D14:D16"/>
    <mergeCell ref="E14:E16"/>
    <mergeCell ref="F14:F16"/>
    <mergeCell ref="B40:B41"/>
    <mergeCell ref="G40:G4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40">
      <selection activeCell="C43" sqref="C43:C44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80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15.75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35699.96000000001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5.75">
      <c r="B9" s="12"/>
      <c r="C9" s="72"/>
      <c r="D9" s="72"/>
      <c r="E9" s="72"/>
      <c r="F9" s="72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'[11]Sheet1'!$N$15</f>
        <v>126460</v>
      </c>
      <c r="D14" s="50">
        <f>'[11]Sheet1'!$R$15</f>
        <v>119141</v>
      </c>
      <c r="E14" s="50">
        <f>D14-C14</f>
        <v>-7319</v>
      </c>
      <c r="F14" s="50">
        <f>'[11]Sheet1'!$T$15</f>
        <v>126460</v>
      </c>
      <c r="G14" s="50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52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53"/>
      <c r="H16" s="62"/>
      <c r="I16" s="62"/>
    </row>
    <row r="17" spans="2:9" ht="13.5" thickBot="1">
      <c r="B17" s="6" t="s">
        <v>7</v>
      </c>
      <c r="C17" s="26">
        <f>C14</f>
        <v>126460</v>
      </c>
      <c r="D17" s="26">
        <f>D14</f>
        <v>119141</v>
      </c>
      <c r="E17" s="26">
        <f>E14</f>
        <v>-7319</v>
      </c>
      <c r="F17" s="26">
        <f>F14</f>
        <v>126460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9</v>
      </c>
      <c r="C19" s="25">
        <f>'[11]Sheet1'!$N$18</f>
        <v>44547</v>
      </c>
      <c r="D19" s="25">
        <f>'[11]Sheet1'!$R$18</f>
        <v>41969</v>
      </c>
      <c r="E19" s="25">
        <f>D19-C19</f>
        <v>-2578</v>
      </c>
      <c r="F19" s="25">
        <f>'[11]Sheet1'!$T$18</f>
        <v>44547</v>
      </c>
      <c r="G19" s="25">
        <f>C19-F19</f>
        <v>0</v>
      </c>
      <c r="H19" s="62"/>
      <c r="I19" s="62"/>
    </row>
    <row r="20" spans="2:9" ht="19.5" customHeight="1" thickBot="1">
      <c r="B20" s="10" t="s">
        <v>10</v>
      </c>
      <c r="C20" s="25">
        <f>'[11]Sheet1'!$N$19</f>
        <v>4086</v>
      </c>
      <c r="D20" s="25">
        <f>'[11]Sheet1'!$R$19</f>
        <v>3850</v>
      </c>
      <c r="E20" s="25">
        <f>D20-C20</f>
        <v>-236</v>
      </c>
      <c r="F20" s="25">
        <f>'[11]Sheet1'!$T$19</f>
        <v>4086</v>
      </c>
      <c r="G20" s="25">
        <f>C20-F20</f>
        <v>0</v>
      </c>
      <c r="H20" s="62"/>
      <c r="I20" s="62"/>
    </row>
    <row r="21" spans="2:9" ht="21" customHeight="1" thickBot="1">
      <c r="B21" s="10" t="s">
        <v>11</v>
      </c>
      <c r="C21" s="25">
        <f>'[11]Sheet1'!$N$20</f>
        <v>9330</v>
      </c>
      <c r="D21" s="25">
        <f>'[11]Sheet1'!$R$20</f>
        <v>8790</v>
      </c>
      <c r="E21" s="25">
        <f>D21-C21</f>
        <v>-540</v>
      </c>
      <c r="F21" s="25">
        <f>'[11]Sheet1'!$T$20</f>
        <v>9330</v>
      </c>
      <c r="G21" s="25">
        <f>C21-F21</f>
        <v>0</v>
      </c>
      <c r="H21" s="62"/>
      <c r="I21" s="62"/>
    </row>
    <row r="22" spans="2:9" ht="25.5" customHeight="1" thickBot="1">
      <c r="B22" s="10" t="s">
        <v>12</v>
      </c>
      <c r="C22" s="25">
        <f>'[11]Sheet1'!$N$22</f>
        <v>14177</v>
      </c>
      <c r="D22" s="25">
        <f>'[11]Sheet1'!$R$22</f>
        <v>13356</v>
      </c>
      <c r="E22" s="25">
        <f>D22-C22</f>
        <v>-821</v>
      </c>
      <c r="F22" s="25">
        <f>'[11]Sheet1'!$T$22</f>
        <v>16018</v>
      </c>
      <c r="G22" s="25">
        <f>C22-F22</f>
        <v>-1841</v>
      </c>
      <c r="H22" s="62"/>
      <c r="I22" s="62"/>
    </row>
    <row r="23" spans="2:9" ht="17.25" customHeight="1" thickBot="1">
      <c r="B23" s="10" t="s">
        <v>60</v>
      </c>
      <c r="C23" s="25">
        <v>0</v>
      </c>
      <c r="D23" s="25">
        <v>0</v>
      </c>
      <c r="E23" s="25">
        <f>D23-C23</f>
        <v>0</v>
      </c>
      <c r="F23" s="25">
        <f>C23</f>
        <v>0</v>
      </c>
      <c r="G23" s="25">
        <f>C23-F23</f>
        <v>0</v>
      </c>
      <c r="H23" s="62"/>
      <c r="I23" s="62"/>
    </row>
    <row r="24" spans="2:9" ht="17.25" customHeight="1" thickBot="1">
      <c r="B24" s="10" t="s">
        <v>61</v>
      </c>
      <c r="C24" s="25">
        <v>0</v>
      </c>
      <c r="D24" s="25">
        <v>0</v>
      </c>
      <c r="E24" s="25">
        <f>D24-C24</f>
        <v>0</v>
      </c>
      <c r="F24" s="25">
        <v>0</v>
      </c>
      <c r="G24" s="25">
        <f>C24-F24</f>
        <v>0</v>
      </c>
      <c r="H24" s="62"/>
      <c r="I24" s="62"/>
    </row>
    <row r="25" spans="2:9" ht="25.5" customHeight="1" thickBot="1">
      <c r="B25" s="10" t="s">
        <v>13</v>
      </c>
      <c r="C25" s="25">
        <f>'[11]Sheet1'!$N$26</f>
        <v>83017</v>
      </c>
      <c r="D25" s="25">
        <f>'[11]Sheet1'!$R$26</f>
        <v>78212</v>
      </c>
      <c r="E25" s="25">
        <f>D25-C25</f>
        <v>-4805</v>
      </c>
      <c r="F25" s="25">
        <f>'[11]Sheet1'!$T$26</f>
        <v>83017</v>
      </c>
      <c r="G25" s="25">
        <f>C25-F25</f>
        <v>0</v>
      </c>
      <c r="H25" s="62"/>
      <c r="I25" s="62"/>
    </row>
    <row r="26" spans="2:9" ht="25.5" customHeight="1" thickBot="1">
      <c r="B26" s="10" t="s">
        <v>14</v>
      </c>
      <c r="C26" s="25">
        <f>'[11]Sheet1'!$N$41+'[11]Sheet1'!$N$42</f>
        <v>13594</v>
      </c>
      <c r="D26" s="25">
        <f>'[11]Sheet1'!$R$41+'[11]Sheet1'!$R$42</f>
        <v>12807</v>
      </c>
      <c r="E26" s="25">
        <f>D26-C26</f>
        <v>-787</v>
      </c>
      <c r="F26" s="25">
        <f>'[11]Sheet1'!$T$41+'[11]Sheet1'!$T$42</f>
        <v>13594</v>
      </c>
      <c r="G26" s="25">
        <f>C26-F26</f>
        <v>0</v>
      </c>
      <c r="H26" s="62"/>
      <c r="I26" s="62"/>
    </row>
    <row r="27" spans="2:9" ht="13.5" thickBot="1">
      <c r="B27" s="6" t="s">
        <v>7</v>
      </c>
      <c r="C27" s="26">
        <f>SUM(C19:C26)</f>
        <v>168751</v>
      </c>
      <c r="D27" s="26">
        <f>SUM(D19:D26)</f>
        <v>158984</v>
      </c>
      <c r="E27" s="26">
        <f>SUM(E19:E26)</f>
        <v>-9767</v>
      </c>
      <c r="F27" s="26">
        <f>SUM(F19:F26)</f>
        <v>170592</v>
      </c>
      <c r="G27" s="26">
        <f>SUM(G19:G26)</f>
        <v>-1841</v>
      </c>
      <c r="H27" s="62"/>
      <c r="I27" s="62"/>
    </row>
    <row r="28" spans="2:9" ht="13.5" thickBot="1">
      <c r="B28" s="7" t="s">
        <v>15</v>
      </c>
      <c r="C28" s="26">
        <f>C17+C27</f>
        <v>295211</v>
      </c>
      <c r="D28" s="26">
        <f>D17+D27</f>
        <v>278125</v>
      </c>
      <c r="E28" s="26">
        <f>E17+E27</f>
        <v>-17086</v>
      </c>
      <c r="F28" s="26">
        <f>F17+F27</f>
        <v>297052</v>
      </c>
      <c r="G28" s="26">
        <f>G17+G27</f>
        <v>-1841</v>
      </c>
      <c r="H28" s="62"/>
      <c r="I28" s="62"/>
    </row>
    <row r="29" spans="2:9" ht="12.75">
      <c r="B29" s="11"/>
      <c r="C29" s="62"/>
      <c r="D29" s="62"/>
      <c r="E29" s="62"/>
      <c r="F29" s="62"/>
      <c r="G29" s="62"/>
      <c r="H29" s="62"/>
      <c r="I29" s="62"/>
    </row>
    <row r="30" spans="2:9" ht="12.75">
      <c r="B30" s="11"/>
      <c r="C30" s="62"/>
      <c r="D30" s="62"/>
      <c r="E30" s="62"/>
      <c r="F30" s="62"/>
      <c r="G30" s="62"/>
      <c r="H30" s="62"/>
      <c r="I30" s="62"/>
    </row>
    <row r="31" spans="2:9" ht="13.5" thickBot="1">
      <c r="B31" s="18" t="s">
        <v>47</v>
      </c>
      <c r="C31" s="62"/>
      <c r="D31" s="62"/>
      <c r="E31" s="62"/>
      <c r="F31" s="62"/>
      <c r="G31" s="62"/>
      <c r="H31" s="62"/>
      <c r="I31" s="62"/>
    </row>
    <row r="32" spans="2:9" ht="105" customHeight="1" thickBot="1">
      <c r="B32" s="22" t="s">
        <v>3</v>
      </c>
      <c r="C32" s="22" t="s">
        <v>28</v>
      </c>
      <c r="D32" s="23" t="s">
        <v>23</v>
      </c>
      <c r="E32" s="23" t="s">
        <v>31</v>
      </c>
      <c r="F32" s="22" t="s">
        <v>16</v>
      </c>
      <c r="G32" s="22" t="s">
        <v>29</v>
      </c>
      <c r="H32" s="62"/>
      <c r="I32" s="62"/>
    </row>
    <row r="33" spans="2:9" ht="13.5" customHeight="1" thickBot="1">
      <c r="B33" s="43">
        <v>1</v>
      </c>
      <c r="C33" s="44">
        <v>2</v>
      </c>
      <c r="D33" s="44">
        <v>3</v>
      </c>
      <c r="E33" s="44" t="s">
        <v>42</v>
      </c>
      <c r="F33" s="44">
        <v>5</v>
      </c>
      <c r="G33" s="45" t="s">
        <v>43</v>
      </c>
      <c r="H33" s="62"/>
      <c r="I33" s="62"/>
    </row>
    <row r="34" spans="2:9" ht="38.25" customHeight="1" thickBot="1">
      <c r="B34" s="10" t="s">
        <v>17</v>
      </c>
      <c r="C34" s="28">
        <f>'[11]Sheet1'!$N$12</f>
        <v>206398</v>
      </c>
      <c r="D34" s="28">
        <f>'[11]Sheet1'!$R$12</f>
        <v>194453</v>
      </c>
      <c r="E34" s="28">
        <f>D34-C34</f>
        <v>-11945</v>
      </c>
      <c r="F34" s="28">
        <f>'[11]Sheet1'!$U$12</f>
        <v>59121</v>
      </c>
      <c r="G34" s="28">
        <f>C34-F34</f>
        <v>147277</v>
      </c>
      <c r="H34" s="65"/>
      <c r="I34" s="62"/>
    </row>
    <row r="35" spans="2:9" ht="13.5" thickBot="1">
      <c r="B35" s="6" t="s">
        <v>18</v>
      </c>
      <c r="C35" s="29">
        <f>C34</f>
        <v>206398</v>
      </c>
      <c r="D35" s="29">
        <f>D34</f>
        <v>194453</v>
      </c>
      <c r="E35" s="29">
        <f>E34</f>
        <v>-11945</v>
      </c>
      <c r="F35" s="29">
        <f>F34</f>
        <v>59121</v>
      </c>
      <c r="G35" s="29">
        <f>G34</f>
        <v>147277</v>
      </c>
      <c r="H35" s="62"/>
      <c r="I35" s="62"/>
    </row>
    <row r="36" spans="2:9" ht="12.75">
      <c r="B36" s="13"/>
      <c r="C36" s="62"/>
      <c r="D36" s="62"/>
      <c r="E36" s="62"/>
      <c r="F36" s="62"/>
      <c r="G36" s="62"/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'[11]Sheet1'!$N$33</f>
        <v>313036</v>
      </c>
      <c r="D41" s="50">
        <f>'[11]Sheet1'!$R$33</f>
        <v>294920</v>
      </c>
      <c r="E41" s="50">
        <f>D41-C41</f>
        <v>-18116</v>
      </c>
      <c r="F41" s="50">
        <f>'[11]Sheet1'!$T$33</f>
        <v>421038</v>
      </c>
      <c r="G41" s="50">
        <f>C41-F41</f>
        <v>-108002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996048.5-119985.87</f>
        <v>876062.63</v>
      </c>
      <c r="D43" s="50">
        <v>883516.21</v>
      </c>
      <c r="E43" s="50">
        <f>D43-C43</f>
        <v>7453.579999999958</v>
      </c>
      <c r="F43" s="50">
        <f>C43</f>
        <v>876062.63</v>
      </c>
      <c r="G43" s="50">
        <f>C43-F43</f>
        <v>0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1189098.63</v>
      </c>
      <c r="D45" s="29">
        <f>D41+D43</f>
        <v>1178436.21</v>
      </c>
      <c r="E45" s="29">
        <f>E41+E43</f>
        <v>-10662.420000000042</v>
      </c>
      <c r="F45" s="29">
        <f>F41+F43</f>
        <v>1297100.63</v>
      </c>
      <c r="G45" s="29">
        <f>G41+G43</f>
        <v>-108002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-39693.42000000004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(E28+E35)</f>
        <v>-29031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-10662.420000000042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35</v>
      </c>
      <c r="C53" s="66"/>
      <c r="D53" s="66"/>
      <c r="E53" s="67"/>
      <c r="F53" s="37"/>
      <c r="G53" s="31">
        <f>F55+F56</f>
        <v>-108002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IF((G28+G35)&lt;=0,G28+G35,0)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-108002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66</v>
      </c>
      <c r="C58" s="66"/>
      <c r="D58" s="66"/>
      <c r="E58" s="67"/>
      <c r="F58" s="37"/>
      <c r="G58" s="31">
        <f>F60+F61</f>
        <v>145436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IF((G28+G35)&gt;0,G28+G35,0)</f>
        <v>145436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39754.87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-39693.42000000004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D5+F67</f>
        <v>75454.83000000002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-109440.63-174017</f>
        <v>-283457.63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1:3" s="11" customFormat="1" ht="12.75">
      <c r="A85" s="37"/>
      <c r="C85" s="21" t="s">
        <v>20</v>
      </c>
    </row>
    <row r="86" spans="2:9" ht="12.75">
      <c r="B86" s="11"/>
      <c r="C86" s="62"/>
      <c r="D86" s="62"/>
      <c r="E86" s="62"/>
      <c r="F86" s="62"/>
      <c r="G86" s="62"/>
      <c r="H86" s="62"/>
      <c r="I86" s="62"/>
    </row>
    <row r="87" spans="2:6" ht="15">
      <c r="B87" s="17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  <row r="94" spans="2:6" ht="14.25">
      <c r="B94" s="68"/>
      <c r="C94" s="68"/>
      <c r="D94" s="68"/>
      <c r="E94" s="68"/>
      <c r="F94" s="68"/>
    </row>
  </sheetData>
  <sheetProtection/>
  <mergeCells count="19">
    <mergeCell ref="G43:G44"/>
    <mergeCell ref="F41:F42"/>
    <mergeCell ref="G14:G16"/>
    <mergeCell ref="C43:C44"/>
    <mergeCell ref="D43:D44"/>
    <mergeCell ref="F43:F44"/>
    <mergeCell ref="C41:C42"/>
    <mergeCell ref="D41:D42"/>
    <mergeCell ref="E43:E44"/>
    <mergeCell ref="B43:B44"/>
    <mergeCell ref="B13:G13"/>
    <mergeCell ref="B18:G18"/>
    <mergeCell ref="E41:E42"/>
    <mergeCell ref="C14:C16"/>
    <mergeCell ref="D14:D16"/>
    <mergeCell ref="E14:E16"/>
    <mergeCell ref="F14:F16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36">
      <selection activeCell="D44" sqref="D44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82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15.75">
      <c r="B4" s="12"/>
      <c r="C4" s="72"/>
      <c r="D4" s="72"/>
      <c r="E4" s="72"/>
      <c r="F4" s="72"/>
    </row>
    <row r="5" spans="2:6" ht="15.75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-336406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'[12]Sheet1'!$N$15</f>
        <v>100773</v>
      </c>
      <c r="D15" s="50">
        <f>'[12]Sheet1'!$R$15</f>
        <v>96728</v>
      </c>
      <c r="E15" s="50">
        <f>D15-C15</f>
        <v>-4045</v>
      </c>
      <c r="F15" s="50">
        <f>'[12]Sheet1'!$T$15</f>
        <v>100773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100773</v>
      </c>
      <c r="D18" s="26">
        <f>D15</f>
        <v>96728</v>
      </c>
      <c r="E18" s="26">
        <f>E15</f>
        <v>-4045</v>
      </c>
      <c r="F18" s="26">
        <f>F15</f>
        <v>100773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9</v>
      </c>
      <c r="C20" s="25">
        <f>'[12]Sheet1'!$N$18</f>
        <v>26009</v>
      </c>
      <c r="D20" s="25">
        <f>'[12]Sheet1'!$R$18</f>
        <v>24965</v>
      </c>
      <c r="E20" s="25">
        <f>D20-C20</f>
        <v>-1044</v>
      </c>
      <c r="F20" s="25">
        <f>'[12]Sheet1'!$T$18</f>
        <v>26009</v>
      </c>
      <c r="G20" s="25">
        <f>C20-F20</f>
        <v>0</v>
      </c>
      <c r="H20" s="62"/>
      <c r="I20" s="62"/>
    </row>
    <row r="21" spans="2:9" ht="19.5" customHeight="1" thickBot="1">
      <c r="B21" s="10" t="s">
        <v>10</v>
      </c>
      <c r="C21" s="25">
        <f>'[12]Sheet1'!$N$19</f>
        <v>1730</v>
      </c>
      <c r="D21" s="25">
        <f>'[12]Sheet1'!$R$19</f>
        <v>1660</v>
      </c>
      <c r="E21" s="25">
        <f>D21-C21</f>
        <v>-70</v>
      </c>
      <c r="F21" s="25">
        <f>'[12]Sheet1'!$T$19</f>
        <v>1730</v>
      </c>
      <c r="G21" s="25">
        <f>C21-F21</f>
        <v>0</v>
      </c>
      <c r="H21" s="62"/>
      <c r="I21" s="62"/>
    </row>
    <row r="22" spans="2:9" ht="21" customHeight="1" thickBot="1">
      <c r="B22" s="10" t="s">
        <v>11</v>
      </c>
      <c r="C22" s="25">
        <f>'[12]Sheet1'!$N$20</f>
        <v>7692</v>
      </c>
      <c r="D22" s="25">
        <f>'[12]Sheet1'!$R$20</f>
        <v>7384</v>
      </c>
      <c r="E22" s="25">
        <f>D22-C22</f>
        <v>-308</v>
      </c>
      <c r="F22" s="25">
        <f>'[12]Sheet1'!$T$20</f>
        <v>7692</v>
      </c>
      <c r="G22" s="25">
        <f>C22-F22</f>
        <v>0</v>
      </c>
      <c r="H22" s="62"/>
      <c r="I22" s="62"/>
    </row>
    <row r="23" spans="2:9" ht="25.5" customHeight="1" thickBot="1">
      <c r="B23" s="10" t="s">
        <v>12</v>
      </c>
      <c r="C23" s="25">
        <f>'[12]Sheet1'!$N$22+'[12]Sheet1'!$N$23</f>
        <v>30624</v>
      </c>
      <c r="D23" s="25">
        <f>'[12]Sheet1'!$R$22+'[12]Sheet1'!$R$23</f>
        <v>29395</v>
      </c>
      <c r="E23" s="25">
        <f>D23-C23</f>
        <v>-1229</v>
      </c>
      <c r="F23" s="25">
        <f>'[12]Sheet1'!$T$22+'[12]Sheet1'!$T$23</f>
        <v>48101</v>
      </c>
      <c r="G23" s="25">
        <f>C23-F23</f>
        <v>-17477</v>
      </c>
      <c r="H23" s="62"/>
      <c r="I23" s="62"/>
    </row>
    <row r="24" spans="2:9" ht="17.25" customHeight="1" thickBot="1">
      <c r="B24" s="10" t="s">
        <v>60</v>
      </c>
      <c r="C24" s="25">
        <f>'[12]Sheet1'!$N$25</f>
        <v>122081</v>
      </c>
      <c r="D24" s="25">
        <f>'[12]Sheet1'!$R$25</f>
        <v>117181</v>
      </c>
      <c r="E24" s="25">
        <f>D24-C24</f>
        <v>-4900</v>
      </c>
      <c r="F24" s="25">
        <f>C24</f>
        <v>122081</v>
      </c>
      <c r="G24" s="25">
        <f>C24-F24</f>
        <v>0</v>
      </c>
      <c r="H24" s="62"/>
      <c r="I24" s="62"/>
    </row>
    <row r="25" spans="2:9" ht="17.25" customHeight="1" thickBot="1">
      <c r="B25" s="10" t="s">
        <v>61</v>
      </c>
      <c r="C25" s="25">
        <f>'[12]Sheet1'!$N$24</f>
        <v>35247</v>
      </c>
      <c r="D25" s="25">
        <f>'[12]Sheet1'!$R$24</f>
        <v>33832</v>
      </c>
      <c r="E25" s="25">
        <f>D25-C25</f>
        <v>-1415</v>
      </c>
      <c r="F25" s="25">
        <f>'[12]Sheet1'!$T$24</f>
        <v>35247</v>
      </c>
      <c r="G25" s="25">
        <f>C25-F25</f>
        <v>0</v>
      </c>
      <c r="H25" s="62"/>
      <c r="I25" s="62"/>
    </row>
    <row r="26" spans="2:9" ht="25.5" customHeight="1" thickBot="1">
      <c r="B26" s="10" t="s">
        <v>13</v>
      </c>
      <c r="C26" s="25">
        <f>'[12]Sheet1'!$N$26</f>
        <v>73061</v>
      </c>
      <c r="D26" s="25">
        <f>'[12]Sheet1'!$R$26</f>
        <v>70128</v>
      </c>
      <c r="E26" s="25">
        <f>D26-C26</f>
        <v>-2933</v>
      </c>
      <c r="F26" s="25">
        <f>'[12]Sheet1'!$T$26</f>
        <v>73061</v>
      </c>
      <c r="G26" s="25">
        <f>C26-F26</f>
        <v>0</v>
      </c>
      <c r="H26" s="62"/>
      <c r="I26" s="62"/>
    </row>
    <row r="27" spans="2:9" ht="25.5" customHeight="1" thickBot="1">
      <c r="B27" s="10" t="s">
        <v>14</v>
      </c>
      <c r="C27" s="25">
        <f>'[12]Sheet1'!$N$41+'[12]Sheet1'!$N$42</f>
        <v>7660</v>
      </c>
      <c r="D27" s="25">
        <f>'[12]Sheet1'!$R$41+'[12]Sheet1'!$R$42</f>
        <v>7353</v>
      </c>
      <c r="E27" s="25">
        <f>D27-C27</f>
        <v>-307</v>
      </c>
      <c r="F27" s="25">
        <f>'[12]Sheet1'!$T$41+'[12]Sheet1'!$T$42</f>
        <v>7660</v>
      </c>
      <c r="G27" s="25">
        <f>C27-F27</f>
        <v>0</v>
      </c>
      <c r="H27" s="62"/>
      <c r="I27" s="62"/>
    </row>
    <row r="28" spans="2:9" ht="13.5" thickBot="1">
      <c r="B28" s="6" t="s">
        <v>7</v>
      </c>
      <c r="C28" s="26">
        <f>SUM(C20:C27)</f>
        <v>304104</v>
      </c>
      <c r="D28" s="26">
        <f>SUM(D20:D27)</f>
        <v>291898</v>
      </c>
      <c r="E28" s="26">
        <f>SUM(E20:E27)</f>
        <v>-12206</v>
      </c>
      <c r="F28" s="26">
        <f>SUM(F20:F27)</f>
        <v>321581</v>
      </c>
      <c r="G28" s="26">
        <f>SUM(G20:G27)</f>
        <v>-17477</v>
      </c>
      <c r="H28" s="62"/>
      <c r="I28" s="62"/>
    </row>
    <row r="29" spans="2:9" ht="13.5" thickBot="1">
      <c r="B29" s="7" t="s">
        <v>15</v>
      </c>
      <c r="C29" s="26">
        <f>C18+C28</f>
        <v>404877</v>
      </c>
      <c r="D29" s="26">
        <f>D18+D28</f>
        <v>388626</v>
      </c>
      <c r="E29" s="26">
        <f>E18+E28</f>
        <v>-16251</v>
      </c>
      <c r="F29" s="26">
        <f>F18+F28</f>
        <v>422354</v>
      </c>
      <c r="G29" s="26">
        <f>G18+G28</f>
        <v>-17477</v>
      </c>
      <c r="H29" s="62"/>
      <c r="I29" s="62"/>
    </row>
    <row r="30" spans="2:9" ht="12.75">
      <c r="B30" s="11"/>
      <c r="C30" s="62"/>
      <c r="D30" s="62"/>
      <c r="E30" s="62"/>
      <c r="F30" s="62"/>
      <c r="G30" s="62"/>
      <c r="H30" s="62"/>
      <c r="I30" s="62"/>
    </row>
    <row r="31" spans="2:9" ht="13.5" thickBot="1">
      <c r="B31" s="18" t="s">
        <v>47</v>
      </c>
      <c r="C31" s="62"/>
      <c r="D31" s="62"/>
      <c r="E31" s="62"/>
      <c r="F31" s="62"/>
      <c r="G31" s="62"/>
      <c r="H31" s="62"/>
      <c r="I31" s="62"/>
    </row>
    <row r="32" spans="2:9" ht="105" customHeight="1" thickBot="1">
      <c r="B32" s="22" t="s">
        <v>3</v>
      </c>
      <c r="C32" s="22" t="s">
        <v>28</v>
      </c>
      <c r="D32" s="23" t="s">
        <v>23</v>
      </c>
      <c r="E32" s="23" t="s">
        <v>31</v>
      </c>
      <c r="F32" s="22" t="s">
        <v>16</v>
      </c>
      <c r="G32" s="22" t="s">
        <v>29</v>
      </c>
      <c r="H32" s="62"/>
      <c r="I32" s="62"/>
    </row>
    <row r="33" spans="2:9" ht="13.5" customHeight="1" thickBot="1">
      <c r="B33" s="43">
        <v>1</v>
      </c>
      <c r="C33" s="44">
        <v>2</v>
      </c>
      <c r="D33" s="44">
        <v>3</v>
      </c>
      <c r="E33" s="44" t="s">
        <v>42</v>
      </c>
      <c r="F33" s="44">
        <v>5</v>
      </c>
      <c r="G33" s="45" t="s">
        <v>43</v>
      </c>
      <c r="H33" s="62"/>
      <c r="I33" s="62"/>
    </row>
    <row r="34" spans="2:9" ht="38.25" customHeight="1" thickBot="1">
      <c r="B34" s="10" t="s">
        <v>17</v>
      </c>
      <c r="C34" s="28">
        <f>'[12]Sheet1'!$N$12</f>
        <v>163610</v>
      </c>
      <c r="D34" s="28">
        <f>'[12]Sheet1'!$R$12</f>
        <v>157043</v>
      </c>
      <c r="E34" s="28">
        <f>D34-C34</f>
        <v>-6567</v>
      </c>
      <c r="F34" s="28">
        <f>'[12]Sheet1'!$U$12</f>
        <v>128466</v>
      </c>
      <c r="G34" s="28">
        <f>C34-F34</f>
        <v>35144</v>
      </c>
      <c r="H34" s="65"/>
      <c r="I34" s="62"/>
    </row>
    <row r="35" spans="2:9" ht="13.5" thickBot="1">
      <c r="B35" s="6" t="s">
        <v>18</v>
      </c>
      <c r="C35" s="29">
        <f>C34</f>
        <v>163610</v>
      </c>
      <c r="D35" s="29">
        <f>D34</f>
        <v>157043</v>
      </c>
      <c r="E35" s="29">
        <f>E34</f>
        <v>-6567</v>
      </c>
      <c r="F35" s="29">
        <f>F34</f>
        <v>128466</v>
      </c>
      <c r="G35" s="29">
        <f>G34</f>
        <v>35144</v>
      </c>
      <c r="H35" s="62"/>
      <c r="I35" s="62"/>
    </row>
    <row r="36" spans="2:9" ht="12.75">
      <c r="B36" s="13"/>
      <c r="C36" s="62"/>
      <c r="D36" s="62"/>
      <c r="E36" s="62"/>
      <c r="F36" s="62"/>
      <c r="G36" s="62"/>
      <c r="H36" s="62"/>
      <c r="I36" s="62"/>
    </row>
    <row r="37" spans="2:9" ht="13.5" thickBot="1">
      <c r="B37" s="18" t="s">
        <v>30</v>
      </c>
      <c r="C37" s="62"/>
      <c r="D37" s="62"/>
      <c r="E37" s="62"/>
      <c r="F37" s="62"/>
      <c r="G37" s="62"/>
      <c r="H37" s="62"/>
      <c r="I37" s="62"/>
    </row>
    <row r="38" spans="2:9" ht="103.5" customHeight="1" thickBot="1">
      <c r="B38" s="22" t="s">
        <v>3</v>
      </c>
      <c r="C38" s="5" t="s">
        <v>25</v>
      </c>
      <c r="D38" s="8" t="s">
        <v>26</v>
      </c>
      <c r="E38" s="23" t="s">
        <v>31</v>
      </c>
      <c r="F38" s="5" t="s">
        <v>27</v>
      </c>
      <c r="G38" s="22" t="s">
        <v>29</v>
      </c>
      <c r="H38" s="62"/>
      <c r="I38" s="62"/>
    </row>
    <row r="39" spans="2:9" ht="13.5" customHeight="1" thickBot="1">
      <c r="B39" s="43">
        <v>1</v>
      </c>
      <c r="C39" s="44">
        <v>2</v>
      </c>
      <c r="D39" s="44">
        <v>3</v>
      </c>
      <c r="E39" s="44" t="s">
        <v>42</v>
      </c>
      <c r="F39" s="44">
        <v>5</v>
      </c>
      <c r="G39" s="45" t="s">
        <v>43</v>
      </c>
      <c r="H39" s="62"/>
      <c r="I39" s="62"/>
    </row>
    <row r="40" spans="2:9" ht="16.5" customHeight="1">
      <c r="B40" s="54" t="s">
        <v>46</v>
      </c>
      <c r="C40" s="50">
        <f>'[12]Sheet1'!$N$33</f>
        <v>233146</v>
      </c>
      <c r="D40" s="50">
        <f>'[12]Sheet1'!$R$33</f>
        <v>223788</v>
      </c>
      <c r="E40" s="50">
        <f>D40-C40</f>
        <v>-9358</v>
      </c>
      <c r="F40" s="50">
        <f>'[12]Sheet1'!$T$33</f>
        <v>288417</v>
      </c>
      <c r="G40" s="50">
        <f>C40-F40</f>
        <v>-55271</v>
      </c>
      <c r="H40" s="62"/>
      <c r="I40" s="62"/>
    </row>
    <row r="41" spans="2:9" ht="24" customHeight="1" thickBot="1">
      <c r="B41" s="55"/>
      <c r="C41" s="51"/>
      <c r="D41" s="51"/>
      <c r="E41" s="51"/>
      <c r="F41" s="51"/>
      <c r="G41" s="51"/>
      <c r="H41" s="62"/>
      <c r="I41" s="62"/>
    </row>
    <row r="42" spans="2:9" ht="17.25" customHeight="1">
      <c r="B42" s="54" t="s">
        <v>44</v>
      </c>
      <c r="C42" s="50">
        <f>840700.04-79890.71</f>
        <v>760809.3300000001</v>
      </c>
      <c r="D42" s="50">
        <v>759140.83</v>
      </c>
      <c r="E42" s="50">
        <f>D42-C42</f>
        <v>-1668.5000000001164</v>
      </c>
      <c r="F42" s="50">
        <v>693047.28</v>
      </c>
      <c r="G42" s="50">
        <f>C42-F42</f>
        <v>67762.05000000005</v>
      </c>
      <c r="H42" s="62"/>
      <c r="I42" s="62"/>
    </row>
    <row r="43" spans="2:9" ht="13.5" thickBot="1">
      <c r="B43" s="55"/>
      <c r="C43" s="51"/>
      <c r="D43" s="51"/>
      <c r="E43" s="51"/>
      <c r="F43" s="51"/>
      <c r="G43" s="51"/>
      <c r="H43" s="62"/>
      <c r="I43" s="62"/>
    </row>
    <row r="44" spans="2:9" ht="13.5" thickBot="1">
      <c r="B44" s="7" t="s">
        <v>19</v>
      </c>
      <c r="C44" s="29">
        <f>C40+C42</f>
        <v>993955.3300000001</v>
      </c>
      <c r="D44" s="29">
        <f>D40+D42</f>
        <v>982928.83</v>
      </c>
      <c r="E44" s="29">
        <f>E40+E42</f>
        <v>-11026.500000000116</v>
      </c>
      <c r="F44" s="29">
        <f>F40+F42</f>
        <v>981464.28</v>
      </c>
      <c r="G44" s="29">
        <f>G40+G42</f>
        <v>12491.050000000047</v>
      </c>
      <c r="H44" s="62"/>
      <c r="I44" s="62"/>
    </row>
    <row r="45" spans="2:9" ht="12.75">
      <c r="B45" s="11"/>
      <c r="C45" s="62"/>
      <c r="D45" s="62"/>
      <c r="E45" s="62"/>
      <c r="F45" s="62"/>
      <c r="G45" s="62"/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20" t="s">
        <v>81</v>
      </c>
      <c r="C47" s="62"/>
      <c r="D47" s="62"/>
      <c r="E47" s="62"/>
      <c r="F47" s="62"/>
      <c r="G47" s="31">
        <f>F49+F50</f>
        <v>-33844.50000000012</v>
      </c>
      <c r="H47" s="62"/>
      <c r="I47" s="62"/>
    </row>
    <row r="48" spans="2:9" ht="12.75">
      <c r="B48" s="30" t="s">
        <v>32</v>
      </c>
      <c r="C48" s="65"/>
      <c r="D48" s="62"/>
      <c r="E48" s="62"/>
      <c r="F48" s="62"/>
      <c r="G48" s="62"/>
      <c r="H48" s="62"/>
      <c r="I48" s="62"/>
    </row>
    <row r="49" spans="2:9" ht="12.75">
      <c r="B49" s="38" t="s">
        <v>63</v>
      </c>
      <c r="C49" s="62"/>
      <c r="D49" s="62"/>
      <c r="E49" s="62"/>
      <c r="F49" s="32">
        <f>(E29+E35)</f>
        <v>-22818</v>
      </c>
      <c r="G49" s="62"/>
      <c r="H49" s="62"/>
      <c r="I49" s="62"/>
    </row>
    <row r="50" spans="2:9" ht="12.75">
      <c r="B50" s="38" t="s">
        <v>64</v>
      </c>
      <c r="C50" s="62"/>
      <c r="D50" s="62"/>
      <c r="E50" s="62"/>
      <c r="F50" s="32">
        <f>(E44)</f>
        <v>-11026.500000000116</v>
      </c>
      <c r="G50" s="62"/>
      <c r="H50" s="62"/>
      <c r="I50" s="62"/>
    </row>
    <row r="51" spans="2:9" ht="12.75">
      <c r="B51" s="38"/>
      <c r="C51" s="62"/>
      <c r="D51" s="62"/>
      <c r="E51" s="62"/>
      <c r="F51" s="32"/>
      <c r="G51" s="62"/>
      <c r="H51" s="62"/>
      <c r="I51" s="62"/>
    </row>
    <row r="52" spans="2:9" s="33" customFormat="1" ht="12.75">
      <c r="B52" s="34" t="s">
        <v>35</v>
      </c>
      <c r="C52" s="66"/>
      <c r="D52" s="66"/>
      <c r="E52" s="67"/>
      <c r="F52" s="37"/>
      <c r="G52" s="31">
        <f>F54+F55</f>
        <v>0</v>
      </c>
      <c r="H52" s="66"/>
      <c r="I52" s="66"/>
    </row>
    <row r="53" spans="2:9" s="33" customFormat="1" ht="12.75">
      <c r="B53" s="30" t="s">
        <v>32</v>
      </c>
      <c r="C53" s="66"/>
      <c r="D53" s="66"/>
      <c r="E53" s="67"/>
      <c r="F53" s="37"/>
      <c r="G53" s="41"/>
      <c r="H53" s="66"/>
      <c r="I53" s="66"/>
    </row>
    <row r="54" spans="2:9" s="33" customFormat="1" ht="12.75">
      <c r="B54" s="38" t="s">
        <v>36</v>
      </c>
      <c r="C54" s="66"/>
      <c r="D54" s="66"/>
      <c r="E54" s="67"/>
      <c r="F54" s="32">
        <f>IF((G29+G35)&lt;=0,G29+G35,0)</f>
        <v>0</v>
      </c>
      <c r="G54" s="41"/>
      <c r="H54" s="66"/>
      <c r="I54" s="66"/>
    </row>
    <row r="55" spans="2:9" s="33" customFormat="1" ht="12.75">
      <c r="B55" s="38" t="s">
        <v>37</v>
      </c>
      <c r="C55" s="66"/>
      <c r="D55" s="66"/>
      <c r="E55" s="67"/>
      <c r="F55" s="32">
        <f>IF(G44&lt;=0,G44,0)</f>
        <v>0</v>
      </c>
      <c r="G55" s="41"/>
      <c r="H55" s="66"/>
      <c r="I55" s="66"/>
    </row>
    <row r="56" spans="2:9" s="33" customFormat="1" ht="12.75">
      <c r="B56" s="38"/>
      <c r="C56" s="66"/>
      <c r="D56" s="66"/>
      <c r="E56" s="67"/>
      <c r="F56" s="37"/>
      <c r="G56" s="41"/>
      <c r="H56" s="66"/>
      <c r="I56" s="66"/>
    </row>
    <row r="57" spans="2:9" s="33" customFormat="1" ht="12.75">
      <c r="B57" s="34" t="s">
        <v>65</v>
      </c>
      <c r="C57" s="66"/>
      <c r="D57" s="66"/>
      <c r="E57" s="67"/>
      <c r="F57" s="37"/>
      <c r="G57" s="31">
        <f>F59+F60</f>
        <v>30158.050000000047</v>
      </c>
      <c r="H57" s="66"/>
      <c r="I57" s="66"/>
    </row>
    <row r="58" spans="2:9" ht="12.75">
      <c r="B58" s="30" t="s">
        <v>32</v>
      </c>
      <c r="C58" s="62"/>
      <c r="D58" s="62"/>
      <c r="E58" s="62"/>
      <c r="F58" s="11"/>
      <c r="G58" s="41"/>
      <c r="H58" s="62"/>
      <c r="I58" s="62"/>
    </row>
    <row r="59" spans="2:9" ht="12.75">
      <c r="B59" s="38" t="s">
        <v>36</v>
      </c>
      <c r="C59" s="62"/>
      <c r="D59" s="62"/>
      <c r="E59" s="62"/>
      <c r="F59" s="32">
        <f>IF((G29+G35)&gt;0,G29+G35,0)</f>
        <v>17667</v>
      </c>
      <c r="G59" s="62"/>
      <c r="H59" s="62"/>
      <c r="I59" s="62"/>
    </row>
    <row r="60" spans="2:9" ht="12.75">
      <c r="B60" s="38" t="s">
        <v>37</v>
      </c>
      <c r="C60" s="62"/>
      <c r="D60" s="62"/>
      <c r="E60" s="62"/>
      <c r="F60" s="32">
        <f>IF(G44&gt;0,G44,0)</f>
        <v>12491.050000000047</v>
      </c>
      <c r="G60" s="62"/>
      <c r="H60" s="62"/>
      <c r="I60" s="62"/>
    </row>
    <row r="61" spans="2:9" ht="12.75">
      <c r="B61" s="38"/>
      <c r="C61" s="62"/>
      <c r="D61" s="62"/>
      <c r="E61" s="62"/>
      <c r="F61" s="32"/>
      <c r="G61" s="62"/>
      <c r="H61" s="62"/>
      <c r="I61" s="62"/>
    </row>
    <row r="62" spans="2:9" ht="12.75">
      <c r="B62" s="49" t="s">
        <v>57</v>
      </c>
      <c r="C62" s="19"/>
      <c r="D62" s="19"/>
      <c r="E62" s="19"/>
      <c r="F62" s="11"/>
      <c r="G62" s="19"/>
      <c r="H62" s="19"/>
      <c r="I62" s="19"/>
    </row>
    <row r="63" spans="2:9" ht="12.75">
      <c r="B63" s="11" t="s">
        <v>58</v>
      </c>
      <c r="C63" s="19"/>
      <c r="D63" s="19"/>
      <c r="E63" s="48"/>
      <c r="F63" s="37"/>
      <c r="G63" s="31">
        <f>1220.87+400+700+2400*1</f>
        <v>4720.87</v>
      </c>
      <c r="H63" s="19"/>
      <c r="I63" s="19"/>
    </row>
    <row r="64" spans="2:9" ht="12.75">
      <c r="B64" s="18"/>
      <c r="C64" s="19"/>
      <c r="D64" s="19"/>
      <c r="E64" s="19"/>
      <c r="F64" s="19"/>
      <c r="G64" s="19"/>
      <c r="H64" s="19"/>
      <c r="I64" s="19"/>
    </row>
    <row r="65" spans="2:9" ht="12.75">
      <c r="B65" s="38"/>
      <c r="C65" s="19"/>
      <c r="D65" s="19"/>
      <c r="E65" s="19"/>
      <c r="F65" s="32"/>
      <c r="G65" s="19"/>
      <c r="H65" s="19"/>
      <c r="I65" s="19"/>
    </row>
    <row r="66" spans="2:9" ht="15.75">
      <c r="B66" s="39" t="s">
        <v>49</v>
      </c>
      <c r="C66" s="19"/>
      <c r="D66" s="19"/>
      <c r="E66" s="19"/>
      <c r="F66" s="40">
        <f>G52+G57+G63</f>
        <v>34878.92000000005</v>
      </c>
      <c r="G66" s="40" t="s">
        <v>40</v>
      </c>
      <c r="H66" s="19"/>
      <c r="I66" s="19"/>
    </row>
    <row r="67" spans="2:9" ht="12.75">
      <c r="B67" s="24" t="s">
        <v>38</v>
      </c>
      <c r="C67" s="19"/>
      <c r="D67" s="19"/>
      <c r="E67" s="19"/>
      <c r="F67" s="32"/>
      <c r="G67" s="19"/>
      <c r="H67" s="19"/>
      <c r="I67" s="19"/>
    </row>
    <row r="68" spans="2:9" ht="12.75">
      <c r="B68" s="24" t="s">
        <v>39</v>
      </c>
      <c r="C68" s="19"/>
      <c r="D68" s="19"/>
      <c r="E68" s="19"/>
      <c r="F68" s="32"/>
      <c r="G68" s="19"/>
      <c r="H68" s="19"/>
      <c r="I68" s="19"/>
    </row>
    <row r="69" spans="2:9" ht="12.75">
      <c r="B69" s="38"/>
      <c r="C69" s="19"/>
      <c r="D69" s="19"/>
      <c r="E69" s="19"/>
      <c r="F69" s="32"/>
      <c r="G69" s="19"/>
      <c r="H69" s="19"/>
      <c r="I69" s="19"/>
    </row>
    <row r="70" spans="2:9" ht="15.75">
      <c r="B70" s="39" t="s">
        <v>50</v>
      </c>
      <c r="C70" s="19"/>
      <c r="D70" s="19"/>
      <c r="E70" s="19"/>
      <c r="F70" s="40">
        <f>G47</f>
        <v>-33844.50000000012</v>
      </c>
      <c r="G70" s="40" t="s">
        <v>40</v>
      </c>
      <c r="H70" s="19"/>
      <c r="I70" s="19"/>
    </row>
    <row r="71" spans="2:9" ht="12.75">
      <c r="B71" s="24" t="s">
        <v>52</v>
      </c>
      <c r="C71" s="19"/>
      <c r="D71" s="19"/>
      <c r="E71" s="19"/>
      <c r="F71" s="32"/>
      <c r="G71" s="19"/>
      <c r="H71" s="19"/>
      <c r="I71" s="19"/>
    </row>
    <row r="72" spans="2:9" ht="12.75">
      <c r="B72" s="24" t="s">
        <v>53</v>
      </c>
      <c r="C72" s="19"/>
      <c r="D72" s="19"/>
      <c r="E72" s="19"/>
      <c r="F72" s="32"/>
      <c r="G72" s="19"/>
      <c r="H72" s="19"/>
      <c r="I72" s="19"/>
    </row>
    <row r="73" spans="2:9" ht="12.75">
      <c r="B73" s="13"/>
      <c r="C73" s="19"/>
      <c r="D73" s="19"/>
      <c r="E73" s="19"/>
      <c r="F73" s="19"/>
      <c r="G73" s="19"/>
      <c r="H73" s="19"/>
      <c r="I73" s="19"/>
    </row>
    <row r="74" spans="2:9" ht="15.75">
      <c r="B74" s="39" t="s">
        <v>56</v>
      </c>
      <c r="C74" s="19"/>
      <c r="D74" s="19"/>
      <c r="E74" s="19"/>
      <c r="F74" s="40">
        <f>D6+F66</f>
        <v>-301527.07999999996</v>
      </c>
      <c r="G74" s="40" t="s">
        <v>40</v>
      </c>
      <c r="H74" s="19"/>
      <c r="I74" s="19"/>
    </row>
    <row r="75" spans="2:9" ht="12.75">
      <c r="B75" s="24" t="s">
        <v>38</v>
      </c>
      <c r="C75" s="19"/>
      <c r="D75" s="19"/>
      <c r="E75" s="19"/>
      <c r="F75" s="32"/>
      <c r="G75" s="19"/>
      <c r="H75" s="19"/>
      <c r="I75" s="19"/>
    </row>
    <row r="76" spans="2:9" ht="12.75">
      <c r="B76" s="24" t="s">
        <v>39</v>
      </c>
      <c r="C76" s="19"/>
      <c r="D76" s="19"/>
      <c r="E76" s="19"/>
      <c r="F76" s="32"/>
      <c r="G76" s="19"/>
      <c r="H76" s="19"/>
      <c r="I76" s="19"/>
    </row>
    <row r="77" spans="2:9" ht="12.75">
      <c r="B77" s="38"/>
      <c r="C77" s="19"/>
      <c r="D77" s="19"/>
      <c r="E77" s="19"/>
      <c r="F77" s="32"/>
      <c r="G77" s="19"/>
      <c r="H77" s="19"/>
      <c r="I77" s="19"/>
    </row>
    <row r="78" spans="2:9" ht="15.75">
      <c r="B78" s="39" t="s">
        <v>51</v>
      </c>
      <c r="C78" s="19"/>
      <c r="D78" s="19"/>
      <c r="E78" s="19"/>
      <c r="F78" s="40">
        <f>-218725.68-85169.3</f>
        <v>-303894.98</v>
      </c>
      <c r="G78" s="40" t="s">
        <v>40</v>
      </c>
      <c r="H78" s="19"/>
      <c r="I78" s="19"/>
    </row>
    <row r="79" spans="2:9" ht="12.75">
      <c r="B79" s="24" t="s">
        <v>52</v>
      </c>
      <c r="C79" s="19"/>
      <c r="D79" s="19"/>
      <c r="E79" s="19"/>
      <c r="F79" s="32"/>
      <c r="G79" s="19"/>
      <c r="H79" s="19"/>
      <c r="I79" s="19"/>
    </row>
    <row r="80" spans="2:9" ht="12.75">
      <c r="B80" s="24" t="s">
        <v>53</v>
      </c>
      <c r="C80" s="19"/>
      <c r="D80" s="19"/>
      <c r="E80" s="19"/>
      <c r="F80" s="32"/>
      <c r="G80" s="19"/>
      <c r="H80" s="19"/>
      <c r="I80" s="19"/>
    </row>
    <row r="81" spans="2:9" ht="12.75">
      <c r="B81" s="38"/>
      <c r="C81" s="62"/>
      <c r="D81" s="62"/>
      <c r="E81" s="62"/>
      <c r="F81" s="32"/>
      <c r="G81" s="62"/>
      <c r="H81" s="62"/>
      <c r="I81" s="62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1:3" s="11" customFormat="1" ht="12.75">
      <c r="A85" s="37"/>
      <c r="C85" s="21" t="s">
        <v>20</v>
      </c>
    </row>
    <row r="86" spans="2:6" ht="15">
      <c r="B86" s="17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</sheetData>
  <sheetProtection/>
  <mergeCells count="19">
    <mergeCell ref="B42:B43"/>
    <mergeCell ref="B14:G14"/>
    <mergeCell ref="B19:G19"/>
    <mergeCell ref="E40:E41"/>
    <mergeCell ref="C15:C17"/>
    <mergeCell ref="D15:D17"/>
    <mergeCell ref="E15:E17"/>
    <mergeCell ref="F15:F17"/>
    <mergeCell ref="B40:B41"/>
    <mergeCell ref="G40:G41"/>
    <mergeCell ref="G42:G43"/>
    <mergeCell ref="F40:F41"/>
    <mergeCell ref="G15:G17"/>
    <mergeCell ref="C42:C43"/>
    <mergeCell ref="D42:D43"/>
    <mergeCell ref="F42:F43"/>
    <mergeCell ref="C40:C41"/>
    <mergeCell ref="D40:D41"/>
    <mergeCell ref="E42:E43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35">
      <selection activeCell="D45" sqref="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83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11.25" customHeight="1">
      <c r="B4" s="12"/>
      <c r="C4" s="72"/>
      <c r="D4" s="72"/>
      <c r="E4" s="72"/>
      <c r="F4" s="72"/>
    </row>
    <row r="5" spans="2:6" ht="10.5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-659183.46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5.75">
      <c r="B10" s="12"/>
      <c r="C10" s="14"/>
      <c r="D10" s="14"/>
      <c r="E10" s="14"/>
      <c r="F10" s="14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'[13]Sheet1'!$N$15</f>
        <v>138300</v>
      </c>
      <c r="D15" s="50">
        <f>'[13]Sheet1'!$R$15</f>
        <v>135983</v>
      </c>
      <c r="E15" s="50">
        <f>D15-C15</f>
        <v>-2317</v>
      </c>
      <c r="F15" s="50">
        <f>'[13]Sheet1'!$T$15</f>
        <v>138300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138300</v>
      </c>
      <c r="D18" s="26">
        <f>D15</f>
        <v>135983</v>
      </c>
      <c r="E18" s="26">
        <f>E15</f>
        <v>-2317</v>
      </c>
      <c r="F18" s="26">
        <f>F15</f>
        <v>138300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'[13]Sheet1'!$N$18</f>
        <v>41189</v>
      </c>
      <c r="D21" s="25">
        <f>'[13]Sheet1'!$R$18</f>
        <v>40499</v>
      </c>
      <c r="E21" s="25">
        <f>D21-C21</f>
        <v>-690</v>
      </c>
      <c r="F21" s="25">
        <f>'[13]Sheet1'!$T$18</f>
        <v>41189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'[13]Sheet1'!$N$19</f>
        <v>2740</v>
      </c>
      <c r="D22" s="25">
        <f>'[13]Sheet1'!$R$19</f>
        <v>2694</v>
      </c>
      <c r="E22" s="25">
        <f>D22-C22</f>
        <v>-46</v>
      </c>
      <c r="F22" s="25">
        <f>'[13]Sheet1'!$T$19</f>
        <v>2740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'[13]Sheet1'!$N$20</f>
        <v>12196</v>
      </c>
      <c r="D23" s="25">
        <f>'[13]Sheet1'!$R$20</f>
        <v>11992</v>
      </c>
      <c r="E23" s="25">
        <f>D23-C23</f>
        <v>-204</v>
      </c>
      <c r="F23" s="25">
        <f>'[13]Sheet1'!$T$20</f>
        <v>12196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'[13]Sheet1'!$N$22+'[13]Sheet1'!$N$23</f>
        <v>47019</v>
      </c>
      <c r="D24" s="25">
        <f>'[13]Sheet1'!$R$22+'[13]Sheet1'!$R$23</f>
        <v>46231</v>
      </c>
      <c r="E24" s="25">
        <f>D24-C24</f>
        <v>-788</v>
      </c>
      <c r="F24" s="25">
        <f>'[13]Sheet1'!$T$22+'[13]Sheet1'!$T$23</f>
        <v>64011</v>
      </c>
      <c r="G24" s="25">
        <f>C24-F24</f>
        <v>-16992</v>
      </c>
      <c r="H24" s="62"/>
      <c r="I24" s="62"/>
    </row>
    <row r="25" spans="2:9" ht="17.25" customHeight="1" thickBot="1">
      <c r="B25" s="10" t="s">
        <v>60</v>
      </c>
      <c r="C25" s="25">
        <f>'[13]Sheet1'!$N$25</f>
        <v>181612</v>
      </c>
      <c r="D25" s="25">
        <f>'[13]Sheet1'!$R$25</f>
        <v>178570</v>
      </c>
      <c r="E25" s="25">
        <f>D25-C25</f>
        <v>-3042</v>
      </c>
      <c r="F25" s="25">
        <f>C25</f>
        <v>181612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f>'[13]Sheet1'!$N$24</f>
        <v>55858</v>
      </c>
      <c r="D26" s="25">
        <f>'[13]Sheet1'!$R$24</f>
        <v>54923</v>
      </c>
      <c r="E26" s="25">
        <f>D26-C26</f>
        <v>-935</v>
      </c>
      <c r="F26" s="25">
        <f>'[13]Sheet1'!$T$24</f>
        <v>55858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'[13]Sheet1'!$N$26</f>
        <v>115862</v>
      </c>
      <c r="D27" s="25">
        <f>'[13]Sheet1'!$R$26</f>
        <v>113921</v>
      </c>
      <c r="E27" s="25">
        <f>D27-C27</f>
        <v>-1941</v>
      </c>
      <c r="F27" s="25">
        <f>'[13]Sheet1'!$T$26</f>
        <v>115862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'[13]Sheet1'!$N$41+'[13]Sheet1'!$N$42</f>
        <v>12111</v>
      </c>
      <c r="D28" s="25">
        <f>'[13]Sheet1'!$R$41+'[13]Sheet1'!$R$42</f>
        <v>11908</v>
      </c>
      <c r="E28" s="25">
        <f>D28-C28</f>
        <v>-203</v>
      </c>
      <c r="F28" s="25">
        <f>'[13]Sheet1'!$T$41+'[13]Sheet1'!$T$42</f>
        <v>12111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468587</v>
      </c>
      <c r="D29" s="26">
        <f>SUM(D20:D28)</f>
        <v>460738</v>
      </c>
      <c r="E29" s="26">
        <f>SUM(E20:E28)</f>
        <v>-7849</v>
      </c>
      <c r="F29" s="26">
        <f>SUM(F20:F28)</f>
        <v>485579</v>
      </c>
      <c r="G29" s="26">
        <f>SUM(G20:G28)</f>
        <v>-16992</v>
      </c>
      <c r="H29" s="62"/>
      <c r="I29" s="62"/>
    </row>
    <row r="30" spans="2:9" ht="13.5" thickBot="1">
      <c r="B30" s="7" t="s">
        <v>15</v>
      </c>
      <c r="C30" s="26">
        <f>C18+C29</f>
        <v>606887</v>
      </c>
      <c r="D30" s="26">
        <f>D18+D29</f>
        <v>596721</v>
      </c>
      <c r="E30" s="26">
        <f>E18+E29</f>
        <v>-10166</v>
      </c>
      <c r="F30" s="26">
        <f>F18+F29</f>
        <v>623879</v>
      </c>
      <c r="G30" s="26">
        <f>G18+G29</f>
        <v>-16992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'[13]Sheet1'!$N$12</f>
        <v>259781</v>
      </c>
      <c r="D35" s="28">
        <f>'[13]Sheet1'!$R$12</f>
        <v>255429</v>
      </c>
      <c r="E35" s="28">
        <f>D35-C35</f>
        <v>-4352</v>
      </c>
      <c r="F35" s="28">
        <f>'[13]Sheet1'!$U$12</f>
        <v>85090</v>
      </c>
      <c r="G35" s="28">
        <f>C35-F35</f>
        <v>174691</v>
      </c>
      <c r="H35" s="65"/>
      <c r="I35" s="62"/>
    </row>
    <row r="36" spans="2:9" ht="13.5" thickBot="1">
      <c r="B36" s="6" t="s">
        <v>18</v>
      </c>
      <c r="C36" s="29">
        <f>C35</f>
        <v>259781</v>
      </c>
      <c r="D36" s="29">
        <f>D35</f>
        <v>255429</v>
      </c>
      <c r="E36" s="29">
        <f>E35</f>
        <v>-4352</v>
      </c>
      <c r="F36" s="29">
        <f>F35</f>
        <v>85090</v>
      </c>
      <c r="G36" s="29">
        <f>G35</f>
        <v>174691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'[13]Sheet1'!$N$33</f>
        <v>282723</v>
      </c>
      <c r="D41" s="50">
        <f>'[13]Sheet1'!$R$33</f>
        <v>277986</v>
      </c>
      <c r="E41" s="50">
        <f>D41-C41</f>
        <v>-4737</v>
      </c>
      <c r="F41" s="50">
        <f>'[13]Sheet1'!$T$33</f>
        <v>308314</v>
      </c>
      <c r="G41" s="50">
        <f>C41-F41</f>
        <v>-25591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1229163.95-72875.48</f>
        <v>1156288.47</v>
      </c>
      <c r="D43" s="50">
        <v>1158696.3</v>
      </c>
      <c r="E43" s="50">
        <f>D43-C43</f>
        <v>2407.8300000000745</v>
      </c>
      <c r="F43" s="50">
        <f>'[13]Sheet1'!$T$36</f>
        <v>981236</v>
      </c>
      <c r="G43" s="50">
        <f>C43-F43</f>
        <v>175052.46999999997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1439011.47</v>
      </c>
      <c r="D45" s="29">
        <f>D41+D43</f>
        <v>1436682.3</v>
      </c>
      <c r="E45" s="29">
        <f>E41+E43</f>
        <v>-2329.1699999999255</v>
      </c>
      <c r="F45" s="29">
        <f>F41+F43</f>
        <v>1289550</v>
      </c>
      <c r="G45" s="29">
        <f>G41+G43</f>
        <v>149461.46999999997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81</v>
      </c>
      <c r="C48" s="62"/>
      <c r="D48" s="62"/>
      <c r="E48" s="62"/>
      <c r="F48" s="62"/>
      <c r="G48" s="31">
        <f>F50+F51</f>
        <v>-16847.169999999925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-14518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-2329.1699999999255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35</v>
      </c>
      <c r="C53" s="66"/>
      <c r="D53" s="66"/>
      <c r="E53" s="67"/>
      <c r="F53" s="37"/>
      <c r="G53" s="31">
        <f>F55+F56</f>
        <v>0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0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307160.47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157699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149461.46999999997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1220.87+400+700+2400*2</f>
        <v>7120.87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314281.33999999997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-16847.169999999925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-344902.12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-65461.14-303884.34</f>
        <v>-369345.48000000004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1:3" s="11" customFormat="1" ht="12.75">
      <c r="A84" s="37"/>
      <c r="C84" s="21" t="s">
        <v>20</v>
      </c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37">
      <selection activeCell="C44" sqref="C44:C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84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-616537.4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2" customHeight="1">
      <c r="B9" s="12"/>
      <c r="C9" s="72"/>
      <c r="D9" s="72"/>
      <c r="E9" s="72"/>
      <c r="F9" s="72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'[14]Sheet1'!$N$15</f>
        <v>138487</v>
      </c>
      <c r="D14" s="50">
        <f>'[14]Sheet1'!$R$15</f>
        <v>137451</v>
      </c>
      <c r="E14" s="50">
        <f>D14-C14</f>
        <v>-1036</v>
      </c>
      <c r="F14" s="50">
        <f>'[14]Sheet1'!$T$15</f>
        <v>138487</v>
      </c>
      <c r="G14" s="50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52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53"/>
      <c r="H16" s="62"/>
      <c r="I16" s="62"/>
    </row>
    <row r="17" spans="2:9" ht="13.5" thickBot="1">
      <c r="B17" s="6" t="s">
        <v>7</v>
      </c>
      <c r="C17" s="26">
        <f>C14</f>
        <v>138487</v>
      </c>
      <c r="D17" s="26">
        <f>D14</f>
        <v>137451</v>
      </c>
      <c r="E17" s="26">
        <f>E14</f>
        <v>-1036</v>
      </c>
      <c r="F17" s="26">
        <f>F14</f>
        <v>138487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70</v>
      </c>
      <c r="C19" s="25">
        <f>'[14]Sheet1'!$N$17</f>
        <v>70094</v>
      </c>
      <c r="D19" s="25">
        <f>'[14]Sheet1'!$R$17</f>
        <v>69570</v>
      </c>
      <c r="E19" s="25">
        <f>D19-C19</f>
        <v>-524</v>
      </c>
      <c r="F19" s="25">
        <f>C19</f>
        <v>70094</v>
      </c>
      <c r="G19" s="25">
        <f>C19-F19</f>
        <v>0</v>
      </c>
      <c r="H19" s="62"/>
      <c r="I19" s="62"/>
    </row>
    <row r="20" spans="2:9" ht="27" customHeight="1" thickBot="1">
      <c r="B20" s="10" t="s">
        <v>9</v>
      </c>
      <c r="C20" s="25">
        <f>'[14]Sheet1'!$N$18</f>
        <v>41558</v>
      </c>
      <c r="D20" s="25">
        <f>'[14]Sheet1'!$R$18</f>
        <v>41248</v>
      </c>
      <c r="E20" s="25">
        <f>D20-C20</f>
        <v>-310</v>
      </c>
      <c r="F20" s="25">
        <f>'[14]Sheet1'!$T$18</f>
        <v>41558</v>
      </c>
      <c r="G20" s="25">
        <f>C20-F20</f>
        <v>0</v>
      </c>
      <c r="H20" s="62"/>
      <c r="I20" s="62"/>
    </row>
    <row r="21" spans="2:9" ht="19.5" customHeight="1" thickBot="1">
      <c r="B21" s="10" t="s">
        <v>10</v>
      </c>
      <c r="C21" s="25">
        <f>'[14]Sheet1'!$N$19</f>
        <v>2765</v>
      </c>
      <c r="D21" s="25">
        <f>'[14]Sheet1'!$R$19</f>
        <v>2744</v>
      </c>
      <c r="E21" s="25">
        <f>D21-C21</f>
        <v>-21</v>
      </c>
      <c r="F21" s="25">
        <f>'[14]Sheet1'!$T$19</f>
        <v>2765</v>
      </c>
      <c r="G21" s="25">
        <f>C21-F21</f>
        <v>0</v>
      </c>
      <c r="H21" s="62"/>
      <c r="I21" s="62"/>
    </row>
    <row r="22" spans="2:9" ht="21" customHeight="1" thickBot="1">
      <c r="B22" s="10" t="s">
        <v>11</v>
      </c>
      <c r="C22" s="25">
        <f>'[14]Sheet1'!$N$20</f>
        <v>12298</v>
      </c>
      <c r="D22" s="25">
        <f>'[14]Sheet1'!$R$20</f>
        <v>12206</v>
      </c>
      <c r="E22" s="25">
        <f>D22-C22</f>
        <v>-92</v>
      </c>
      <c r="F22" s="25">
        <f>'[14]Sheet1'!$T$20</f>
        <v>12298</v>
      </c>
      <c r="G22" s="25">
        <f>C22-F22</f>
        <v>0</v>
      </c>
      <c r="H22" s="62"/>
      <c r="I22" s="62"/>
    </row>
    <row r="23" spans="2:9" ht="25.5" customHeight="1" thickBot="1">
      <c r="B23" s="10" t="s">
        <v>12</v>
      </c>
      <c r="C23" s="25">
        <f>'[14]Sheet1'!$N$22+'[14]Sheet1'!$N$23</f>
        <v>47333</v>
      </c>
      <c r="D23" s="25">
        <f>'[14]Sheet1'!$R$22+'[14]Sheet1'!$R$23</f>
        <v>46979</v>
      </c>
      <c r="E23" s="25">
        <f>D23-C23</f>
        <v>-354</v>
      </c>
      <c r="F23" s="25">
        <f>'[14]Sheet1'!$T$22+'[14]Sheet1'!$T$23</f>
        <v>60800</v>
      </c>
      <c r="G23" s="25">
        <f>C23-F23</f>
        <v>-13467</v>
      </c>
      <c r="H23" s="62"/>
      <c r="I23" s="62"/>
    </row>
    <row r="24" spans="2:9" ht="17.25" customHeight="1" thickBot="1">
      <c r="B24" s="10" t="s">
        <v>60</v>
      </c>
      <c r="C24" s="25">
        <f>'[14]Sheet1'!$N$25</f>
        <v>183600</v>
      </c>
      <c r="D24" s="25">
        <f>'[14]Sheet1'!$R$25</f>
        <v>182227</v>
      </c>
      <c r="E24" s="25">
        <f>D24-C24</f>
        <v>-1373</v>
      </c>
      <c r="F24" s="25">
        <f>C24</f>
        <v>183600</v>
      </c>
      <c r="G24" s="25">
        <f>C24-F24</f>
        <v>0</v>
      </c>
      <c r="H24" s="62"/>
      <c r="I24" s="62"/>
    </row>
    <row r="25" spans="2:9" ht="17.25" customHeight="1" thickBot="1">
      <c r="B25" s="10" t="s">
        <v>61</v>
      </c>
      <c r="C25" s="25">
        <f>'[14]Sheet1'!$N$24</f>
        <v>55542</v>
      </c>
      <c r="D25" s="25">
        <f>'[14]Sheet1'!$R$24</f>
        <v>55126</v>
      </c>
      <c r="E25" s="25">
        <f>D25-C25</f>
        <v>-416</v>
      </c>
      <c r="F25" s="25">
        <f>'[14]Sheet1'!$T$24</f>
        <v>55542</v>
      </c>
      <c r="G25" s="25">
        <f>C25-F25</f>
        <v>0</v>
      </c>
      <c r="H25" s="62"/>
      <c r="I25" s="62"/>
    </row>
    <row r="26" spans="2:9" ht="25.5" customHeight="1" thickBot="1">
      <c r="B26" s="10" t="s">
        <v>13</v>
      </c>
      <c r="C26" s="25">
        <f>'[14]Sheet1'!$N$26</f>
        <v>116823</v>
      </c>
      <c r="D26" s="25">
        <f>'[14]Sheet1'!$R$26</f>
        <v>115949</v>
      </c>
      <c r="E26" s="25">
        <f>D26-C26</f>
        <v>-874</v>
      </c>
      <c r="F26" s="25">
        <f>'[14]Sheet1'!$T$26</f>
        <v>116823</v>
      </c>
      <c r="G26" s="25">
        <f>C26-F26</f>
        <v>0</v>
      </c>
      <c r="H26" s="62"/>
      <c r="I26" s="62"/>
    </row>
    <row r="27" spans="2:9" ht="25.5" customHeight="1" thickBot="1">
      <c r="B27" s="10" t="s">
        <v>14</v>
      </c>
      <c r="C27" s="25">
        <f>'[14]Sheet1'!$N$41+'[14]Sheet1'!$N$42</f>
        <v>12228</v>
      </c>
      <c r="D27" s="25">
        <f>'[14]Sheet1'!$R$41+'[14]Sheet1'!$R$42</f>
        <v>12137</v>
      </c>
      <c r="E27" s="25">
        <f>D27-C27</f>
        <v>-91</v>
      </c>
      <c r="F27" s="25">
        <f>'[14]Sheet1'!$T$41+'[14]Sheet1'!$T$42</f>
        <v>12228</v>
      </c>
      <c r="G27" s="25">
        <f>C27-F27</f>
        <v>0</v>
      </c>
      <c r="H27" s="62"/>
      <c r="I27" s="62"/>
    </row>
    <row r="28" spans="2:9" ht="13.5" thickBot="1">
      <c r="B28" s="6" t="s">
        <v>7</v>
      </c>
      <c r="C28" s="26">
        <f>SUM(C19:C27)</f>
        <v>542241</v>
      </c>
      <c r="D28" s="26">
        <f>SUM(D19:D27)</f>
        <v>538186</v>
      </c>
      <c r="E28" s="26">
        <f>SUM(E19:E27)</f>
        <v>-4055</v>
      </c>
      <c r="F28" s="26">
        <f>SUM(F19:F27)</f>
        <v>555708</v>
      </c>
      <c r="G28" s="26">
        <f>SUM(G19:G27)</f>
        <v>-13467</v>
      </c>
      <c r="H28" s="62"/>
      <c r="I28" s="62"/>
    </row>
    <row r="29" spans="2:9" ht="13.5" thickBot="1">
      <c r="B29" s="7" t="s">
        <v>15</v>
      </c>
      <c r="C29" s="26">
        <f>C17+C28</f>
        <v>680728</v>
      </c>
      <c r="D29" s="26">
        <f>D17+D28</f>
        <v>675637</v>
      </c>
      <c r="E29" s="26">
        <f>E17+E28</f>
        <v>-5091</v>
      </c>
      <c r="F29" s="26">
        <f>F17+F28</f>
        <v>694195</v>
      </c>
      <c r="G29" s="26">
        <f>G17+G28</f>
        <v>-13467</v>
      </c>
      <c r="H29" s="62"/>
      <c r="I29" s="62"/>
    </row>
    <row r="30" spans="2:9" ht="12.75">
      <c r="B30" s="11"/>
      <c r="C30" s="62"/>
      <c r="D30" s="62"/>
      <c r="E30" s="62"/>
      <c r="F30" s="62"/>
      <c r="G30" s="62"/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'[14]Sheet1'!$N$12</f>
        <v>268802</v>
      </c>
      <c r="D35" s="28">
        <f>'[14]Sheet1'!$R$12</f>
        <v>266792</v>
      </c>
      <c r="E35" s="28">
        <f>D35-C35</f>
        <v>-2010</v>
      </c>
      <c r="F35" s="28">
        <f>'[14]Sheet1'!$U$12</f>
        <v>215392</v>
      </c>
      <c r="G35" s="28">
        <f>C35-F35</f>
        <v>53410</v>
      </c>
      <c r="H35" s="65"/>
      <c r="I35" s="62"/>
    </row>
    <row r="36" spans="2:9" ht="13.5" thickBot="1">
      <c r="B36" s="6" t="s">
        <v>18</v>
      </c>
      <c r="C36" s="29">
        <f>C35</f>
        <v>268802</v>
      </c>
      <c r="D36" s="29">
        <f>D35</f>
        <v>266792</v>
      </c>
      <c r="E36" s="29">
        <f>E35</f>
        <v>-2010</v>
      </c>
      <c r="F36" s="29">
        <f>F35</f>
        <v>215392</v>
      </c>
      <c r="G36" s="29">
        <f>G35</f>
        <v>53410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2.75">
      <c r="B38" s="13"/>
      <c r="C38" s="62"/>
      <c r="D38" s="62"/>
      <c r="E38" s="62"/>
      <c r="F38" s="62"/>
      <c r="G38" s="62"/>
      <c r="H38" s="62"/>
      <c r="I38" s="62"/>
    </row>
    <row r="39" spans="2:9" ht="13.5" thickBot="1">
      <c r="B39" s="18" t="s">
        <v>30</v>
      </c>
      <c r="C39" s="62"/>
      <c r="D39" s="62"/>
      <c r="E39" s="62"/>
      <c r="F39" s="62"/>
      <c r="G39" s="62"/>
      <c r="H39" s="62"/>
      <c r="I39" s="62"/>
    </row>
    <row r="40" spans="2:9" ht="103.5" customHeight="1" thickBot="1">
      <c r="B40" s="22" t="s">
        <v>3</v>
      </c>
      <c r="C40" s="5" t="s">
        <v>25</v>
      </c>
      <c r="D40" s="8" t="s">
        <v>26</v>
      </c>
      <c r="E40" s="23" t="s">
        <v>31</v>
      </c>
      <c r="F40" s="5" t="s">
        <v>27</v>
      </c>
      <c r="G40" s="22" t="s">
        <v>29</v>
      </c>
      <c r="H40" s="62"/>
      <c r="I40" s="62"/>
    </row>
    <row r="41" spans="2:9" ht="13.5" customHeight="1" thickBot="1">
      <c r="B41" s="43">
        <v>1</v>
      </c>
      <c r="C41" s="44">
        <v>2</v>
      </c>
      <c r="D41" s="44">
        <v>3</v>
      </c>
      <c r="E41" s="44" t="s">
        <v>42</v>
      </c>
      <c r="F41" s="44">
        <v>5</v>
      </c>
      <c r="G41" s="45" t="s">
        <v>43</v>
      </c>
      <c r="H41" s="62"/>
      <c r="I41" s="62"/>
    </row>
    <row r="42" spans="2:9" ht="16.5" customHeight="1">
      <c r="B42" s="54" t="s">
        <v>46</v>
      </c>
      <c r="C42" s="50">
        <f>'[14]Sheet1'!$N$33</f>
        <v>399883</v>
      </c>
      <c r="D42" s="50">
        <f>'[14]Sheet1'!$R$33</f>
        <v>396893</v>
      </c>
      <c r="E42" s="50">
        <f>D42-C42</f>
        <v>-2990</v>
      </c>
      <c r="F42" s="50">
        <f>'[14]Sheet1'!$T$33</f>
        <v>440958</v>
      </c>
      <c r="G42" s="50">
        <f>C42-F42</f>
        <v>-41075</v>
      </c>
      <c r="H42" s="62"/>
      <c r="I42" s="62"/>
    </row>
    <row r="43" spans="2:9" ht="24" customHeight="1" thickBot="1">
      <c r="B43" s="55"/>
      <c r="C43" s="51"/>
      <c r="D43" s="51"/>
      <c r="E43" s="51"/>
      <c r="F43" s="51"/>
      <c r="G43" s="51"/>
      <c r="H43" s="62"/>
      <c r="I43" s="62"/>
    </row>
    <row r="44" spans="2:9" ht="17.25" customHeight="1">
      <c r="B44" s="54" t="s">
        <v>44</v>
      </c>
      <c r="C44" s="50">
        <f>1383580.29-216267.14</f>
        <v>1167313.15</v>
      </c>
      <c r="D44" s="50">
        <v>1248669.6</v>
      </c>
      <c r="E44" s="50">
        <f>D44-C44</f>
        <v>81356.45000000019</v>
      </c>
      <c r="F44" s="50">
        <f>C44</f>
        <v>1167313.15</v>
      </c>
      <c r="G44" s="50">
        <f>C44-F44</f>
        <v>0</v>
      </c>
      <c r="H44" s="62"/>
      <c r="I44" s="62"/>
    </row>
    <row r="45" spans="2:9" ht="13.5" thickBot="1">
      <c r="B45" s="55"/>
      <c r="C45" s="51"/>
      <c r="D45" s="51"/>
      <c r="E45" s="51"/>
      <c r="F45" s="51"/>
      <c r="G45" s="51"/>
      <c r="H45" s="62"/>
      <c r="I45" s="62"/>
    </row>
    <row r="46" spans="2:9" ht="13.5" thickBot="1">
      <c r="B46" s="7" t="s">
        <v>19</v>
      </c>
      <c r="C46" s="29">
        <f>C42+C44</f>
        <v>1567196.15</v>
      </c>
      <c r="D46" s="29">
        <f>D42+D44</f>
        <v>1645562.6</v>
      </c>
      <c r="E46" s="29">
        <f>E42+E44</f>
        <v>78366.45000000019</v>
      </c>
      <c r="F46" s="29">
        <f>F42+F44</f>
        <v>1608271.15</v>
      </c>
      <c r="G46" s="29">
        <f>G42+G44</f>
        <v>-41075</v>
      </c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11"/>
      <c r="C48" s="62"/>
      <c r="D48" s="62"/>
      <c r="E48" s="62"/>
      <c r="F48" s="62"/>
      <c r="G48" s="62"/>
      <c r="H48" s="62"/>
      <c r="I48" s="62"/>
    </row>
    <row r="49" spans="2:9" ht="12.75">
      <c r="B49" s="20" t="s">
        <v>62</v>
      </c>
      <c r="C49" s="62"/>
      <c r="D49" s="62"/>
      <c r="E49" s="62"/>
      <c r="F49" s="62"/>
      <c r="G49" s="31">
        <f>F51+F52</f>
        <v>71265.45000000019</v>
      </c>
      <c r="H49" s="62"/>
      <c r="I49" s="62"/>
    </row>
    <row r="50" spans="2:9" ht="12.75">
      <c r="B50" s="30" t="s">
        <v>32</v>
      </c>
      <c r="C50" s="65"/>
      <c r="D50" s="62"/>
      <c r="E50" s="62"/>
      <c r="F50" s="62"/>
      <c r="G50" s="62"/>
      <c r="H50" s="62"/>
      <c r="I50" s="62"/>
    </row>
    <row r="51" spans="2:9" ht="12.75">
      <c r="B51" s="38" t="s">
        <v>63</v>
      </c>
      <c r="C51" s="62"/>
      <c r="D51" s="62"/>
      <c r="E51" s="62"/>
      <c r="F51" s="32">
        <f>(E29+E36)</f>
        <v>-7101</v>
      </c>
      <c r="G51" s="62"/>
      <c r="H51" s="62"/>
      <c r="I51" s="62"/>
    </row>
    <row r="52" spans="2:9" ht="12.75">
      <c r="B52" s="38" t="s">
        <v>64</v>
      </c>
      <c r="C52" s="62"/>
      <c r="D52" s="62"/>
      <c r="E52" s="62"/>
      <c r="F52" s="32">
        <f>(E46)</f>
        <v>78366.45000000019</v>
      </c>
      <c r="G52" s="62"/>
      <c r="H52" s="62"/>
      <c r="I52" s="62"/>
    </row>
    <row r="53" spans="2:9" ht="12.75">
      <c r="B53" s="24" t="s">
        <v>72</v>
      </c>
      <c r="C53" s="62"/>
      <c r="D53" s="62"/>
      <c r="E53" s="62"/>
      <c r="F53" s="32"/>
      <c r="G53" s="62"/>
      <c r="H53" s="62"/>
      <c r="I53" s="62"/>
    </row>
    <row r="54" spans="2:9" ht="12.75">
      <c r="B54" s="24" t="s">
        <v>53</v>
      </c>
      <c r="C54" s="62"/>
      <c r="D54" s="62"/>
      <c r="E54" s="62"/>
      <c r="F54" s="32"/>
      <c r="G54" s="62"/>
      <c r="H54" s="62"/>
      <c r="I54" s="62"/>
    </row>
    <row r="55" spans="2:9" ht="12.75">
      <c r="B55" s="38"/>
      <c r="C55" s="62"/>
      <c r="D55" s="62"/>
      <c r="E55" s="62"/>
      <c r="F55" s="32"/>
      <c r="G55" s="62"/>
      <c r="H55" s="62"/>
      <c r="I55" s="62"/>
    </row>
    <row r="56" spans="2:9" s="33" customFormat="1" ht="12.75">
      <c r="B56" s="34" t="s">
        <v>35</v>
      </c>
      <c r="C56" s="66"/>
      <c r="D56" s="66"/>
      <c r="E56" s="67"/>
      <c r="F56" s="37"/>
      <c r="G56" s="31">
        <f>F58+F59</f>
        <v>-41075</v>
      </c>
      <c r="H56" s="66"/>
      <c r="I56" s="66"/>
    </row>
    <row r="57" spans="2:9" s="33" customFormat="1" ht="12.75">
      <c r="B57" s="30" t="s">
        <v>32</v>
      </c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8" t="s">
        <v>36</v>
      </c>
      <c r="C58" s="66"/>
      <c r="D58" s="66"/>
      <c r="E58" s="67"/>
      <c r="F58" s="32">
        <f>IF((G29+G36)&lt;=0,G29+G36,0)</f>
        <v>0</v>
      </c>
      <c r="G58" s="41"/>
      <c r="H58" s="66"/>
      <c r="I58" s="66"/>
    </row>
    <row r="59" spans="2:9" s="33" customFormat="1" ht="12.75">
      <c r="B59" s="38" t="s">
        <v>37</v>
      </c>
      <c r="C59" s="66"/>
      <c r="D59" s="66"/>
      <c r="E59" s="67"/>
      <c r="F59" s="32">
        <f>IF(G46&lt;=0,G46,0)</f>
        <v>-41075</v>
      </c>
      <c r="G59" s="41"/>
      <c r="H59" s="66"/>
      <c r="I59" s="66"/>
    </row>
    <row r="60" spans="2:9" s="33" customFormat="1" ht="12.75">
      <c r="B60" s="38"/>
      <c r="C60" s="66"/>
      <c r="D60" s="66"/>
      <c r="E60" s="67"/>
      <c r="F60" s="37"/>
      <c r="G60" s="41"/>
      <c r="H60" s="66"/>
      <c r="I60" s="66"/>
    </row>
    <row r="61" spans="2:9" s="33" customFormat="1" ht="12.75">
      <c r="B61" s="34" t="s">
        <v>48</v>
      </c>
      <c r="C61" s="66"/>
      <c r="D61" s="66"/>
      <c r="E61" s="67"/>
      <c r="F61" s="37"/>
      <c r="G61" s="31">
        <f>F63+F64</f>
        <v>39943</v>
      </c>
      <c r="H61" s="66"/>
      <c r="I61" s="66"/>
    </row>
    <row r="62" spans="2:9" ht="12.75">
      <c r="B62" s="30" t="s">
        <v>32</v>
      </c>
      <c r="C62" s="62"/>
      <c r="D62" s="62"/>
      <c r="E62" s="62"/>
      <c r="F62" s="11"/>
      <c r="G62" s="41"/>
      <c r="H62" s="62"/>
      <c r="I62" s="62"/>
    </row>
    <row r="63" spans="2:9" ht="12.75">
      <c r="B63" s="38" t="s">
        <v>36</v>
      </c>
      <c r="C63" s="62"/>
      <c r="D63" s="62"/>
      <c r="E63" s="62"/>
      <c r="F63" s="32">
        <f>IF((G29+G36)&gt;0,G29+G36,0)</f>
        <v>39943</v>
      </c>
      <c r="G63" s="62"/>
      <c r="H63" s="62"/>
      <c r="I63" s="62"/>
    </row>
    <row r="64" spans="2:9" ht="12.75">
      <c r="B64" s="38" t="s">
        <v>37</v>
      </c>
      <c r="C64" s="62"/>
      <c r="D64" s="62"/>
      <c r="E64" s="62"/>
      <c r="F64" s="32">
        <f>IF(G46&gt;0,G46,0)</f>
        <v>0</v>
      </c>
      <c r="G64" s="62"/>
      <c r="H64" s="62"/>
      <c r="I64" s="62"/>
    </row>
    <row r="65" spans="2:9" ht="12.75">
      <c r="B65" s="38"/>
      <c r="C65" s="62"/>
      <c r="D65" s="62"/>
      <c r="E65" s="62"/>
      <c r="F65" s="32"/>
      <c r="G65" s="62"/>
      <c r="H65" s="62"/>
      <c r="I65" s="62"/>
    </row>
    <row r="66" spans="2:9" ht="12.75">
      <c r="B66" s="49" t="s">
        <v>57</v>
      </c>
      <c r="C66" s="19"/>
      <c r="D66" s="19"/>
      <c r="E66" s="19"/>
      <c r="F66" s="11"/>
      <c r="G66" s="19"/>
      <c r="H66" s="19"/>
      <c r="I66" s="19"/>
    </row>
    <row r="67" spans="2:9" ht="12.75">
      <c r="B67" s="11" t="s">
        <v>58</v>
      </c>
      <c r="C67" s="19"/>
      <c r="D67" s="19"/>
      <c r="E67" s="48"/>
      <c r="F67" s="37"/>
      <c r="G67" s="31">
        <f>1220.87+400+700+2400*2</f>
        <v>7120.87</v>
      </c>
      <c r="H67" s="19"/>
      <c r="I67" s="19"/>
    </row>
    <row r="68" spans="2:9" ht="12.75">
      <c r="B68" s="18"/>
      <c r="C68" s="19"/>
      <c r="D68" s="19"/>
      <c r="E68" s="19"/>
      <c r="F68" s="19"/>
      <c r="G68" s="19"/>
      <c r="H68" s="19"/>
      <c r="I68" s="19"/>
    </row>
    <row r="69" spans="2:9" ht="12.75">
      <c r="B69" s="38"/>
      <c r="C69" s="19"/>
      <c r="D69" s="19"/>
      <c r="E69" s="19"/>
      <c r="F69" s="32"/>
      <c r="G69" s="19"/>
      <c r="H69" s="19"/>
      <c r="I69" s="19"/>
    </row>
    <row r="70" spans="2:9" ht="15.75">
      <c r="B70" s="39" t="s">
        <v>49</v>
      </c>
      <c r="C70" s="19"/>
      <c r="D70" s="19"/>
      <c r="E70" s="19"/>
      <c r="F70" s="40">
        <f>G56+G61+G67</f>
        <v>5988.87</v>
      </c>
      <c r="G70" s="40" t="s">
        <v>40</v>
      </c>
      <c r="H70" s="19"/>
      <c r="I70" s="19"/>
    </row>
    <row r="71" spans="2:9" ht="12.75">
      <c r="B71" s="24" t="s">
        <v>38</v>
      </c>
      <c r="C71" s="19"/>
      <c r="D71" s="19"/>
      <c r="E71" s="19"/>
      <c r="F71" s="32"/>
      <c r="G71" s="19"/>
      <c r="H71" s="19"/>
      <c r="I71" s="19"/>
    </row>
    <row r="72" spans="2:9" ht="12.75">
      <c r="B72" s="24" t="s">
        <v>39</v>
      </c>
      <c r="C72" s="19"/>
      <c r="D72" s="19"/>
      <c r="E72" s="19"/>
      <c r="F72" s="32"/>
      <c r="G72" s="19"/>
      <c r="H72" s="19"/>
      <c r="I72" s="19"/>
    </row>
    <row r="73" spans="2:9" ht="12.75">
      <c r="B73" s="38"/>
      <c r="C73" s="19"/>
      <c r="D73" s="19"/>
      <c r="E73" s="19"/>
      <c r="F73" s="32"/>
      <c r="G73" s="19"/>
      <c r="H73" s="19"/>
      <c r="I73" s="19"/>
    </row>
    <row r="74" spans="2:9" ht="15.75">
      <c r="B74" s="39" t="s">
        <v>50</v>
      </c>
      <c r="C74" s="19"/>
      <c r="D74" s="19"/>
      <c r="E74" s="19"/>
      <c r="F74" s="40">
        <f>G49</f>
        <v>71265.45000000019</v>
      </c>
      <c r="G74" s="40" t="s">
        <v>40</v>
      </c>
      <c r="H74" s="19"/>
      <c r="I74" s="19"/>
    </row>
    <row r="75" spans="2:9" ht="12.75">
      <c r="B75" s="24" t="s">
        <v>52</v>
      </c>
      <c r="C75" s="19"/>
      <c r="D75" s="19"/>
      <c r="E75" s="19"/>
      <c r="F75" s="32"/>
      <c r="G75" s="19"/>
      <c r="H75" s="19"/>
      <c r="I75" s="19"/>
    </row>
    <row r="76" spans="2:9" ht="12.75">
      <c r="B76" s="24" t="s">
        <v>53</v>
      </c>
      <c r="C76" s="19"/>
      <c r="D76" s="19"/>
      <c r="E76" s="19"/>
      <c r="F76" s="32"/>
      <c r="G76" s="19"/>
      <c r="H76" s="19"/>
      <c r="I76" s="19"/>
    </row>
    <row r="77" spans="2:9" ht="12.75">
      <c r="B77" s="13"/>
      <c r="C77" s="19"/>
      <c r="D77" s="19"/>
      <c r="E77" s="19"/>
      <c r="F77" s="19"/>
      <c r="G77" s="19"/>
      <c r="H77" s="19"/>
      <c r="I77" s="19"/>
    </row>
    <row r="78" spans="2:9" ht="15.75">
      <c r="B78" s="39" t="s">
        <v>56</v>
      </c>
      <c r="C78" s="19"/>
      <c r="D78" s="19"/>
      <c r="E78" s="19"/>
      <c r="F78" s="40">
        <f>D5+F70</f>
        <v>-610548.53</v>
      </c>
      <c r="G78" s="40" t="s">
        <v>40</v>
      </c>
      <c r="H78" s="19"/>
      <c r="I78" s="19"/>
    </row>
    <row r="79" spans="2:9" ht="12.75">
      <c r="B79" s="24" t="s">
        <v>38</v>
      </c>
      <c r="C79" s="19"/>
      <c r="D79" s="19"/>
      <c r="E79" s="19"/>
      <c r="F79" s="32"/>
      <c r="G79" s="19"/>
      <c r="H79" s="19"/>
      <c r="I79" s="19"/>
    </row>
    <row r="80" spans="2:9" ht="12.75">
      <c r="B80" s="24" t="s">
        <v>39</v>
      </c>
      <c r="C80" s="19"/>
      <c r="D80" s="19"/>
      <c r="E80" s="19"/>
      <c r="F80" s="32"/>
      <c r="G80" s="19"/>
      <c r="H80" s="19"/>
      <c r="I80" s="19"/>
    </row>
    <row r="81" spans="2:9" ht="12.75">
      <c r="B81" s="38"/>
      <c r="C81" s="19"/>
      <c r="D81" s="19"/>
      <c r="E81" s="19"/>
      <c r="F81" s="32"/>
      <c r="G81" s="19"/>
      <c r="H81" s="19"/>
      <c r="I81" s="19"/>
    </row>
    <row r="82" spans="2:9" ht="15.75">
      <c r="B82" s="39" t="s">
        <v>51</v>
      </c>
      <c r="C82" s="19"/>
      <c r="D82" s="19"/>
      <c r="E82" s="19"/>
      <c r="F82" s="40">
        <f>-516692.35-177908.87</f>
        <v>-694601.22</v>
      </c>
      <c r="G82" s="40" t="s">
        <v>40</v>
      </c>
      <c r="H82" s="19"/>
      <c r="I82" s="19"/>
    </row>
    <row r="83" spans="2:9" ht="12.75">
      <c r="B83" s="24" t="s">
        <v>52</v>
      </c>
      <c r="C83" s="19"/>
      <c r="D83" s="19"/>
      <c r="E83" s="19"/>
      <c r="F83" s="32"/>
      <c r="G83" s="19"/>
      <c r="H83" s="19"/>
      <c r="I83" s="19"/>
    </row>
    <row r="84" spans="2:9" ht="12.75">
      <c r="B84" s="24" t="s">
        <v>53</v>
      </c>
      <c r="C84" s="19"/>
      <c r="D84" s="19"/>
      <c r="E84" s="19"/>
      <c r="F84" s="32"/>
      <c r="G84" s="19"/>
      <c r="H84" s="19"/>
      <c r="I84" s="19"/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1:3" s="11" customFormat="1" ht="12.75">
      <c r="A86" s="37"/>
      <c r="C86" s="21" t="s">
        <v>20</v>
      </c>
    </row>
    <row r="87" spans="2:9" ht="12.75">
      <c r="B87" s="11"/>
      <c r="C87" s="62"/>
      <c r="D87" s="62"/>
      <c r="E87" s="62"/>
      <c r="F87" s="62"/>
      <c r="G87" s="62"/>
      <c r="H87" s="62"/>
      <c r="I87" s="62"/>
    </row>
    <row r="88" spans="2:6" ht="15">
      <c r="B88" s="17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  <row r="94" spans="2:6" ht="14.25">
      <c r="B94" s="68"/>
      <c r="C94" s="68"/>
      <c r="D94" s="68"/>
      <c r="E94" s="68"/>
      <c r="F94" s="68"/>
    </row>
    <row r="95" spans="2:6" ht="14.25">
      <c r="B95" s="68"/>
      <c r="C95" s="68"/>
      <c r="D95" s="68"/>
      <c r="E95" s="68"/>
      <c r="F95" s="68"/>
    </row>
  </sheetData>
  <sheetProtection/>
  <mergeCells count="19">
    <mergeCell ref="G44:G45"/>
    <mergeCell ref="F42:F43"/>
    <mergeCell ref="G14:G16"/>
    <mergeCell ref="C44:C45"/>
    <mergeCell ref="D44:D45"/>
    <mergeCell ref="F44:F45"/>
    <mergeCell ref="C42:C43"/>
    <mergeCell ref="D42:D43"/>
    <mergeCell ref="E44:E45"/>
    <mergeCell ref="B44:B45"/>
    <mergeCell ref="B13:G13"/>
    <mergeCell ref="B18:G18"/>
    <mergeCell ref="E42:E43"/>
    <mergeCell ref="C14:C16"/>
    <mergeCell ref="D14:D16"/>
    <mergeCell ref="E14:E16"/>
    <mergeCell ref="F14:F16"/>
    <mergeCell ref="B42:B43"/>
    <mergeCell ref="G42:G43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28">
      <selection activeCell="D44" sqref="D44: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86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123605.02000000002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2" customHeight="1">
      <c r="B9" s="12"/>
      <c r="C9" s="72"/>
      <c r="D9" s="72"/>
      <c r="E9" s="72"/>
      <c r="F9" s="72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'[15]Sheet1'!$N$15</f>
        <v>282281</v>
      </c>
      <c r="D14" s="50">
        <f>'[15]Sheet1'!$R$15</f>
        <v>280002</v>
      </c>
      <c r="E14" s="50">
        <f>D14-C14</f>
        <v>-2279</v>
      </c>
      <c r="F14" s="50">
        <f>'[15]Sheet1'!$T$15</f>
        <v>282281</v>
      </c>
      <c r="G14" s="50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52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53"/>
      <c r="H16" s="62"/>
      <c r="I16" s="62"/>
    </row>
    <row r="17" spans="2:9" ht="13.5" thickBot="1">
      <c r="B17" s="6" t="s">
        <v>7</v>
      </c>
      <c r="C17" s="26">
        <f>C14</f>
        <v>282281</v>
      </c>
      <c r="D17" s="26">
        <f>D14</f>
        <v>280002</v>
      </c>
      <c r="E17" s="26">
        <f>E14</f>
        <v>-2279</v>
      </c>
      <c r="F17" s="26">
        <f>F14</f>
        <v>282281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70</v>
      </c>
      <c r="C19" s="25">
        <f>'[15]Sheet1'!$N$17</f>
        <v>85784</v>
      </c>
      <c r="D19" s="25">
        <f>'[15]Sheet1'!$R$17</f>
        <v>85092</v>
      </c>
      <c r="E19" s="25">
        <f>D19-C19</f>
        <v>-692</v>
      </c>
      <c r="F19" s="25">
        <f>C19</f>
        <v>85784</v>
      </c>
      <c r="G19" s="25">
        <f>C19-F19</f>
        <v>0</v>
      </c>
      <c r="H19" s="62"/>
      <c r="I19" s="62"/>
    </row>
    <row r="20" spans="2:9" ht="27" customHeight="1" thickBot="1">
      <c r="B20" s="10" t="s">
        <v>9</v>
      </c>
      <c r="C20" s="25">
        <f>'[15]Sheet1'!$N$18</f>
        <v>89529</v>
      </c>
      <c r="D20" s="25">
        <f>'[15]Sheet1'!$R$18</f>
        <v>88806</v>
      </c>
      <c r="E20" s="25">
        <f>D20-C20</f>
        <v>-723</v>
      </c>
      <c r="F20" s="25">
        <f>'[15]Sheet1'!$T$18</f>
        <v>89529</v>
      </c>
      <c r="G20" s="25">
        <f>C20-F20</f>
        <v>0</v>
      </c>
      <c r="H20" s="62"/>
      <c r="I20" s="62"/>
    </row>
    <row r="21" spans="2:9" ht="19.5" customHeight="1" thickBot="1">
      <c r="B21" s="10" t="s">
        <v>10</v>
      </c>
      <c r="C21" s="25">
        <f>'[15]Sheet1'!$N$19</f>
        <v>5956</v>
      </c>
      <c r="D21" s="25">
        <f>'[15]Sheet1'!$R$19</f>
        <v>5908</v>
      </c>
      <c r="E21" s="25">
        <f>D21-C21</f>
        <v>-48</v>
      </c>
      <c r="F21" s="25">
        <f>'[15]Sheet1'!$T$19</f>
        <v>5956</v>
      </c>
      <c r="G21" s="25">
        <f>C21-F21</f>
        <v>0</v>
      </c>
      <c r="H21" s="62"/>
      <c r="I21" s="62"/>
    </row>
    <row r="22" spans="2:9" ht="21" customHeight="1" thickBot="1">
      <c r="B22" s="10" t="s">
        <v>11</v>
      </c>
      <c r="C22" s="25">
        <f>'[15]Sheet1'!$N$20</f>
        <v>26489</v>
      </c>
      <c r="D22" s="25">
        <f>'[15]Sheet1'!$R$20</f>
        <v>26275</v>
      </c>
      <c r="E22" s="25">
        <f>D22-C22</f>
        <v>-214</v>
      </c>
      <c r="F22" s="25">
        <f>'[15]Sheet1'!$T$20</f>
        <v>26489</v>
      </c>
      <c r="G22" s="25">
        <f>C22-F22</f>
        <v>0</v>
      </c>
      <c r="H22" s="62"/>
      <c r="I22" s="62"/>
    </row>
    <row r="23" spans="2:9" ht="25.5" customHeight="1" thickBot="1">
      <c r="B23" s="10" t="s">
        <v>12</v>
      </c>
      <c r="C23" s="25">
        <f>'[15]Sheet1'!$N$22+'[15]Sheet1'!$N$23</f>
        <v>102400</v>
      </c>
      <c r="D23" s="25">
        <f>'[15]Sheet1'!$R$22+'[15]Sheet1'!$R$23</f>
        <v>101572</v>
      </c>
      <c r="E23" s="25">
        <f>D23-C23</f>
        <v>-828</v>
      </c>
      <c r="F23" s="25">
        <f>'[15]Sheet1'!$T$22+'[15]Sheet1'!$T$23</f>
        <v>37757</v>
      </c>
      <c r="G23" s="25">
        <f>C23-F23</f>
        <v>64643</v>
      </c>
      <c r="H23" s="62"/>
      <c r="I23" s="62"/>
    </row>
    <row r="24" spans="2:9" ht="17.25" customHeight="1" thickBot="1">
      <c r="B24" s="10" t="s">
        <v>60</v>
      </c>
      <c r="C24" s="25">
        <f>'[15]Sheet1'!$N$25</f>
        <v>399474</v>
      </c>
      <c r="D24" s="25">
        <f>'[15]Sheet1'!$R$25</f>
        <v>396249</v>
      </c>
      <c r="E24" s="25">
        <f>D24-C24</f>
        <v>-3225</v>
      </c>
      <c r="F24" s="25">
        <f>C24</f>
        <v>399474</v>
      </c>
      <c r="G24" s="25">
        <f>C24-F24</f>
        <v>0</v>
      </c>
      <c r="H24" s="62"/>
      <c r="I24" s="62"/>
    </row>
    <row r="25" spans="2:9" ht="17.25" customHeight="1" thickBot="1">
      <c r="B25" s="10" t="s">
        <v>61</v>
      </c>
      <c r="C25" s="25">
        <f>'[15]Sheet1'!$N$24</f>
        <v>120990</v>
      </c>
      <c r="D25" s="25">
        <f>'[15]Sheet1'!$R$24</f>
        <v>120013</v>
      </c>
      <c r="E25" s="25">
        <f>D25-C25</f>
        <v>-977</v>
      </c>
      <c r="F25" s="25">
        <f>'[15]Sheet1'!$T$24</f>
        <v>120990</v>
      </c>
      <c r="G25" s="25">
        <f>C25-F25</f>
        <v>0</v>
      </c>
      <c r="H25" s="62"/>
      <c r="I25" s="62"/>
    </row>
    <row r="26" spans="2:9" ht="25.5" customHeight="1" thickBot="1">
      <c r="B26" s="10" t="s">
        <v>13</v>
      </c>
      <c r="C26" s="25">
        <f>'[15]Sheet1'!$N$26</f>
        <v>251602</v>
      </c>
      <c r="D26" s="25">
        <f>'[15]Sheet1'!$R$26</f>
        <v>249571</v>
      </c>
      <c r="E26" s="25">
        <f>D26-C26</f>
        <v>-2031</v>
      </c>
      <c r="F26" s="25">
        <f>'[15]Sheet1'!$T$26</f>
        <v>251602</v>
      </c>
      <c r="G26" s="25">
        <f>C26-F26</f>
        <v>0</v>
      </c>
      <c r="H26" s="62"/>
      <c r="I26" s="62"/>
    </row>
    <row r="27" spans="2:9" ht="25.5" customHeight="1" thickBot="1">
      <c r="B27" s="10" t="s">
        <v>14</v>
      </c>
      <c r="C27" s="25">
        <f>'[15]Sheet1'!$N$41+'[15]Sheet1'!$N$42</f>
        <v>26355</v>
      </c>
      <c r="D27" s="25">
        <f>'[15]Sheet1'!$R$41+'[15]Sheet1'!$R$42</f>
        <v>26143</v>
      </c>
      <c r="E27" s="25">
        <f>D27-C27</f>
        <v>-212</v>
      </c>
      <c r="F27" s="25">
        <f>'[15]Sheet1'!$T$41+'[15]Sheet1'!$T$42</f>
        <v>26355</v>
      </c>
      <c r="G27" s="25">
        <f>C27-F27</f>
        <v>0</v>
      </c>
      <c r="H27" s="62"/>
      <c r="I27" s="62"/>
    </row>
    <row r="28" spans="2:9" ht="13.5" thickBot="1">
      <c r="B28" s="6" t="s">
        <v>7</v>
      </c>
      <c r="C28" s="26">
        <f>SUM(C19:C27)</f>
        <v>1108579</v>
      </c>
      <c r="D28" s="26">
        <f>SUM(D19:D27)</f>
        <v>1099629</v>
      </c>
      <c r="E28" s="26">
        <f>SUM(E19:E27)</f>
        <v>-8950</v>
      </c>
      <c r="F28" s="26">
        <f>SUM(F19:F27)</f>
        <v>1043936</v>
      </c>
      <c r="G28" s="26">
        <f>SUM(G19:G27)</f>
        <v>64643</v>
      </c>
      <c r="H28" s="62"/>
      <c r="I28" s="62"/>
    </row>
    <row r="29" spans="2:9" ht="13.5" thickBot="1">
      <c r="B29" s="7" t="s">
        <v>15</v>
      </c>
      <c r="C29" s="26">
        <f>C17+C28</f>
        <v>1390860</v>
      </c>
      <c r="D29" s="26">
        <f>D17+D28</f>
        <v>1379631</v>
      </c>
      <c r="E29" s="26">
        <f>E17+E28</f>
        <v>-11229</v>
      </c>
      <c r="F29" s="26">
        <f>F17+F28</f>
        <v>1326217</v>
      </c>
      <c r="G29" s="26">
        <f>G17+G28</f>
        <v>64643</v>
      </c>
      <c r="H29" s="62"/>
      <c r="I29" s="62"/>
    </row>
    <row r="30" spans="2:9" ht="12.75">
      <c r="B30" s="11"/>
      <c r="C30" s="62"/>
      <c r="D30" s="62"/>
      <c r="E30" s="62"/>
      <c r="F30" s="62"/>
      <c r="G30" s="62"/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'[15]Sheet1'!$N$12</f>
        <v>565493</v>
      </c>
      <c r="D35" s="28">
        <f>'[15]Sheet1'!$R$12</f>
        <v>560927</v>
      </c>
      <c r="E35" s="28">
        <f>D35-C35</f>
        <v>-4566</v>
      </c>
      <c r="F35" s="28">
        <f>'[15]Sheet1'!$U$12-200200</f>
        <v>442188</v>
      </c>
      <c r="G35" s="28">
        <f>C35-F35</f>
        <v>123305</v>
      </c>
      <c r="H35" s="65"/>
      <c r="I35" s="62"/>
    </row>
    <row r="36" spans="2:9" ht="13.5" thickBot="1">
      <c r="B36" s="6" t="s">
        <v>18</v>
      </c>
      <c r="C36" s="29">
        <f>C35</f>
        <v>565493</v>
      </c>
      <c r="D36" s="29">
        <f>D35</f>
        <v>560927</v>
      </c>
      <c r="E36" s="29">
        <f>E35</f>
        <v>-4566</v>
      </c>
      <c r="F36" s="29">
        <f>F35</f>
        <v>442188</v>
      </c>
      <c r="G36" s="29">
        <f>G35</f>
        <v>123305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2.75">
      <c r="B38" s="13"/>
      <c r="C38" s="62"/>
      <c r="D38" s="62"/>
      <c r="E38" s="62"/>
      <c r="F38" s="62"/>
      <c r="G38" s="62"/>
      <c r="H38" s="62"/>
      <c r="I38" s="62"/>
    </row>
    <row r="39" spans="2:9" ht="13.5" thickBot="1">
      <c r="B39" s="18" t="s">
        <v>30</v>
      </c>
      <c r="C39" s="62"/>
      <c r="D39" s="62"/>
      <c r="E39" s="62"/>
      <c r="F39" s="62"/>
      <c r="G39" s="62"/>
      <c r="H39" s="62"/>
      <c r="I39" s="62"/>
    </row>
    <row r="40" spans="2:9" ht="103.5" customHeight="1" thickBot="1">
      <c r="B40" s="22" t="s">
        <v>3</v>
      </c>
      <c r="C40" s="5" t="s">
        <v>25</v>
      </c>
      <c r="D40" s="8" t="s">
        <v>26</v>
      </c>
      <c r="E40" s="23" t="s">
        <v>31</v>
      </c>
      <c r="F40" s="5" t="s">
        <v>27</v>
      </c>
      <c r="G40" s="22" t="s">
        <v>29</v>
      </c>
      <c r="H40" s="62"/>
      <c r="I40" s="62"/>
    </row>
    <row r="41" spans="2:9" ht="13.5" customHeight="1" thickBot="1">
      <c r="B41" s="43">
        <v>1</v>
      </c>
      <c r="C41" s="44">
        <v>2</v>
      </c>
      <c r="D41" s="44">
        <v>3</v>
      </c>
      <c r="E41" s="44" t="s">
        <v>42</v>
      </c>
      <c r="F41" s="44">
        <v>5</v>
      </c>
      <c r="G41" s="45" t="s">
        <v>43</v>
      </c>
      <c r="H41" s="62"/>
      <c r="I41" s="62"/>
    </row>
    <row r="42" spans="2:9" ht="16.5" customHeight="1">
      <c r="B42" s="54" t="s">
        <v>46</v>
      </c>
      <c r="C42" s="50">
        <f>'[15]Sheet1'!$N$33</f>
        <v>851070</v>
      </c>
      <c r="D42" s="50">
        <f>'[15]Sheet1'!$R$33</f>
        <v>844198</v>
      </c>
      <c r="E42" s="50">
        <f>D42-C42</f>
        <v>-6872</v>
      </c>
      <c r="F42" s="50">
        <f>'[15]Sheet1'!$T$33</f>
        <v>932717</v>
      </c>
      <c r="G42" s="50">
        <f>C42-F42</f>
        <v>-81647</v>
      </c>
      <c r="H42" s="62"/>
      <c r="I42" s="62"/>
    </row>
    <row r="43" spans="2:9" ht="24" customHeight="1" thickBot="1">
      <c r="B43" s="55"/>
      <c r="C43" s="51"/>
      <c r="D43" s="51"/>
      <c r="E43" s="51"/>
      <c r="F43" s="51"/>
      <c r="G43" s="51"/>
      <c r="H43" s="62"/>
      <c r="I43" s="62"/>
    </row>
    <row r="44" spans="2:9" ht="17.25" customHeight="1">
      <c r="B44" s="54" t="s">
        <v>44</v>
      </c>
      <c r="C44" s="50">
        <f>3156082.75-160617.46</f>
        <v>2995465.29</v>
      </c>
      <c r="D44" s="50">
        <v>3024451.9</v>
      </c>
      <c r="E44" s="50">
        <f>D44-C44</f>
        <v>28986.60999999987</v>
      </c>
      <c r="F44" s="50">
        <f>C44</f>
        <v>2995465.29</v>
      </c>
      <c r="G44" s="50">
        <f>C44-F44</f>
        <v>0</v>
      </c>
      <c r="H44" s="62"/>
      <c r="I44" s="62"/>
    </row>
    <row r="45" spans="2:9" ht="13.5" thickBot="1">
      <c r="B45" s="55"/>
      <c r="C45" s="77"/>
      <c r="D45" s="77"/>
      <c r="E45" s="77"/>
      <c r="F45" s="77"/>
      <c r="G45" s="77"/>
      <c r="H45" s="62"/>
      <c r="I45" s="62"/>
    </row>
    <row r="46" spans="2:9" ht="13.5" thickBot="1">
      <c r="B46" s="10" t="s">
        <v>85</v>
      </c>
      <c r="C46" s="76">
        <f>'[15]Sheet1'!$N$39</f>
        <v>674455</v>
      </c>
      <c r="D46" s="76">
        <f>'[15]Sheet1'!$R$39</f>
        <v>669009</v>
      </c>
      <c r="E46" s="76">
        <f>D46-C46</f>
        <v>-5446</v>
      </c>
      <c r="F46" s="76">
        <f>'[15]Sheet1'!$T$39</f>
        <v>464808</v>
      </c>
      <c r="G46" s="76">
        <f>C46-F46</f>
        <v>209647</v>
      </c>
      <c r="H46" s="62"/>
      <c r="I46" s="62"/>
    </row>
    <row r="47" spans="2:9" ht="13.5" thickBot="1">
      <c r="B47" s="7" t="s">
        <v>19</v>
      </c>
      <c r="C47" s="29">
        <f>C42+C44+C46</f>
        <v>4520990.29</v>
      </c>
      <c r="D47" s="29">
        <f>D42+D44+D46</f>
        <v>4537658.9</v>
      </c>
      <c r="E47" s="29">
        <f>E42+E44+E46</f>
        <v>16668.60999999987</v>
      </c>
      <c r="F47" s="29">
        <f>F42+F44+F46</f>
        <v>4392990.29</v>
      </c>
      <c r="G47" s="29">
        <f>G42+G44+G46</f>
        <v>128000</v>
      </c>
      <c r="H47" s="62"/>
      <c r="I47" s="62"/>
    </row>
    <row r="48" spans="2:9" ht="12.75">
      <c r="B48" s="11"/>
      <c r="C48" s="62"/>
      <c r="D48" s="62"/>
      <c r="E48" s="62"/>
      <c r="F48" s="62"/>
      <c r="G48" s="62"/>
      <c r="H48" s="62"/>
      <c r="I48" s="62"/>
    </row>
    <row r="49" spans="2:9" ht="12.75">
      <c r="B49" s="20" t="s">
        <v>62</v>
      </c>
      <c r="C49" s="62"/>
      <c r="D49" s="62"/>
      <c r="E49" s="62"/>
      <c r="F49" s="62"/>
      <c r="G49" s="31">
        <f>F51+F52</f>
        <v>873.6099999998696</v>
      </c>
      <c r="H49" s="62"/>
      <c r="I49" s="62"/>
    </row>
    <row r="50" spans="2:9" ht="12.75">
      <c r="B50" s="30" t="s">
        <v>32</v>
      </c>
      <c r="C50" s="65"/>
      <c r="D50" s="62"/>
      <c r="E50" s="62"/>
      <c r="F50" s="62"/>
      <c r="G50" s="62"/>
      <c r="H50" s="62"/>
      <c r="I50" s="62"/>
    </row>
    <row r="51" spans="2:9" ht="12.75">
      <c r="B51" s="38" t="s">
        <v>63</v>
      </c>
      <c r="C51" s="62"/>
      <c r="D51" s="62"/>
      <c r="E51" s="62"/>
      <c r="F51" s="32">
        <f>(E29+E36)</f>
        <v>-15795</v>
      </c>
      <c r="G51" s="62"/>
      <c r="H51" s="62"/>
      <c r="I51" s="62"/>
    </row>
    <row r="52" spans="2:9" ht="12.75">
      <c r="B52" s="38" t="s">
        <v>64</v>
      </c>
      <c r="C52" s="62"/>
      <c r="D52" s="62"/>
      <c r="E52" s="62"/>
      <c r="F52" s="32">
        <f>(E47)</f>
        <v>16668.60999999987</v>
      </c>
      <c r="G52" s="62"/>
      <c r="H52" s="62"/>
      <c r="I52" s="62"/>
    </row>
    <row r="53" spans="2:9" ht="12.75">
      <c r="B53" s="24" t="s">
        <v>72</v>
      </c>
      <c r="C53" s="62"/>
      <c r="D53" s="62"/>
      <c r="E53" s="62"/>
      <c r="F53" s="32"/>
      <c r="G53" s="62"/>
      <c r="H53" s="62"/>
      <c r="I53" s="62"/>
    </row>
    <row r="54" spans="2:9" ht="12.75">
      <c r="B54" s="24" t="s">
        <v>53</v>
      </c>
      <c r="C54" s="62"/>
      <c r="D54" s="62"/>
      <c r="E54" s="62"/>
      <c r="F54" s="32"/>
      <c r="G54" s="62"/>
      <c r="H54" s="62"/>
      <c r="I54" s="62"/>
    </row>
    <row r="55" spans="2:9" ht="12.75">
      <c r="B55" s="38"/>
      <c r="C55" s="62"/>
      <c r="D55" s="62"/>
      <c r="E55" s="62"/>
      <c r="F55" s="32"/>
      <c r="G55" s="62"/>
      <c r="H55" s="62"/>
      <c r="I55" s="62"/>
    </row>
    <row r="56" spans="2:9" s="33" customFormat="1" ht="12.75">
      <c r="B56" s="34" t="s">
        <v>35</v>
      </c>
      <c r="C56" s="66"/>
      <c r="D56" s="66"/>
      <c r="E56" s="67"/>
      <c r="F56" s="37"/>
      <c r="G56" s="31">
        <f>F58+F59</f>
        <v>0</v>
      </c>
      <c r="H56" s="66"/>
      <c r="I56" s="66"/>
    </row>
    <row r="57" spans="2:9" s="33" customFormat="1" ht="12.75">
      <c r="B57" s="30" t="s">
        <v>32</v>
      </c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8" t="s">
        <v>36</v>
      </c>
      <c r="C58" s="66"/>
      <c r="D58" s="66"/>
      <c r="E58" s="67"/>
      <c r="F58" s="32">
        <f>IF((G29+G36)&lt;=0,G29+G36,0)</f>
        <v>0</v>
      </c>
      <c r="G58" s="41"/>
      <c r="H58" s="66"/>
      <c r="I58" s="66"/>
    </row>
    <row r="59" spans="2:9" s="33" customFormat="1" ht="12.75">
      <c r="B59" s="38" t="s">
        <v>37</v>
      </c>
      <c r="C59" s="66"/>
      <c r="D59" s="66"/>
      <c r="E59" s="67"/>
      <c r="F59" s="32">
        <f>IF(G47&lt;=0,G47,0)</f>
        <v>0</v>
      </c>
      <c r="G59" s="41"/>
      <c r="H59" s="66"/>
      <c r="I59" s="66"/>
    </row>
    <row r="60" spans="2:9" s="33" customFormat="1" ht="12.75">
      <c r="B60" s="38"/>
      <c r="C60" s="66"/>
      <c r="D60" s="66"/>
      <c r="E60" s="67"/>
      <c r="F60" s="37"/>
      <c r="G60" s="41"/>
      <c r="H60" s="66"/>
      <c r="I60" s="66"/>
    </row>
    <row r="61" spans="2:9" s="33" customFormat="1" ht="12.75">
      <c r="B61" s="34" t="s">
        <v>65</v>
      </c>
      <c r="C61" s="66"/>
      <c r="D61" s="66"/>
      <c r="E61" s="67"/>
      <c r="F61" s="37"/>
      <c r="G61" s="31">
        <f>F63+F64</f>
        <v>315948</v>
      </c>
      <c r="H61" s="66"/>
      <c r="I61" s="66"/>
    </row>
    <row r="62" spans="2:9" ht="12.75">
      <c r="B62" s="30" t="s">
        <v>32</v>
      </c>
      <c r="C62" s="62"/>
      <c r="D62" s="62"/>
      <c r="E62" s="62"/>
      <c r="F62" s="11"/>
      <c r="G62" s="41"/>
      <c r="H62" s="62"/>
      <c r="I62" s="62"/>
    </row>
    <row r="63" spans="2:9" ht="12.75">
      <c r="B63" s="38" t="s">
        <v>36</v>
      </c>
      <c r="C63" s="62"/>
      <c r="D63" s="62"/>
      <c r="E63" s="62"/>
      <c r="F63" s="32">
        <f>IF((G29+G36)&gt;0,G29+G36,0)</f>
        <v>187948</v>
      </c>
      <c r="G63" s="62"/>
      <c r="H63" s="62"/>
      <c r="I63" s="62"/>
    </row>
    <row r="64" spans="2:9" ht="12.75">
      <c r="B64" s="38" t="s">
        <v>37</v>
      </c>
      <c r="C64" s="62"/>
      <c r="D64" s="62"/>
      <c r="E64" s="62"/>
      <c r="F64" s="32">
        <f>IF(G47&gt;0,G47,0)</f>
        <v>128000</v>
      </c>
      <c r="G64" s="62"/>
      <c r="H64" s="62"/>
      <c r="I64" s="62"/>
    </row>
    <row r="65" spans="2:9" ht="12.75">
      <c r="B65" s="38"/>
      <c r="C65" s="62"/>
      <c r="D65" s="62"/>
      <c r="E65" s="62"/>
      <c r="F65" s="32"/>
      <c r="G65" s="62"/>
      <c r="H65" s="62"/>
      <c r="I65" s="62"/>
    </row>
    <row r="66" spans="2:9" ht="12.75">
      <c r="B66" s="49" t="s">
        <v>57</v>
      </c>
      <c r="C66" s="19"/>
      <c r="D66" s="19"/>
      <c r="E66" s="19"/>
      <c r="F66" s="11"/>
      <c r="G66" s="19"/>
      <c r="H66" s="19"/>
      <c r="I66" s="19"/>
    </row>
    <row r="67" spans="2:9" ht="12.75">
      <c r="B67" s="11" t="s">
        <v>58</v>
      </c>
      <c r="C67" s="19"/>
      <c r="D67" s="19"/>
      <c r="E67" s="48"/>
      <c r="F67" s="37"/>
      <c r="G67" s="31">
        <f>1220.87+400+700+2400*4</f>
        <v>11920.869999999999</v>
      </c>
      <c r="H67" s="19"/>
      <c r="I67" s="19"/>
    </row>
    <row r="68" spans="2:9" ht="12.75">
      <c r="B68" s="18"/>
      <c r="C68" s="19"/>
      <c r="D68" s="19"/>
      <c r="E68" s="19"/>
      <c r="F68" s="19"/>
      <c r="G68" s="19"/>
      <c r="H68" s="19"/>
      <c r="I68" s="19"/>
    </row>
    <row r="69" spans="2:9" ht="15.75">
      <c r="B69" s="39" t="s">
        <v>49</v>
      </c>
      <c r="C69" s="19"/>
      <c r="D69" s="19"/>
      <c r="E69" s="19"/>
      <c r="F69" s="40">
        <f>G56+G61+G67</f>
        <v>327868.87</v>
      </c>
      <c r="G69" s="40" t="s">
        <v>40</v>
      </c>
      <c r="H69" s="19"/>
      <c r="I69" s="19"/>
    </row>
    <row r="70" spans="2:9" ht="12.75">
      <c r="B70" s="24" t="s">
        <v>38</v>
      </c>
      <c r="C70" s="19"/>
      <c r="D70" s="19"/>
      <c r="E70" s="19"/>
      <c r="F70" s="32"/>
      <c r="G70" s="19"/>
      <c r="H70" s="19"/>
      <c r="I70" s="19"/>
    </row>
    <row r="71" spans="2:9" ht="12.75">
      <c r="B71" s="24" t="s">
        <v>39</v>
      </c>
      <c r="C71" s="19"/>
      <c r="D71" s="19"/>
      <c r="E71" s="19"/>
      <c r="F71" s="32"/>
      <c r="G71" s="19"/>
      <c r="H71" s="19"/>
      <c r="I71" s="19"/>
    </row>
    <row r="72" spans="2:9" ht="12.75">
      <c r="B72" s="38"/>
      <c r="C72" s="19"/>
      <c r="D72" s="19"/>
      <c r="E72" s="19"/>
      <c r="F72" s="32"/>
      <c r="G72" s="19"/>
      <c r="H72" s="19"/>
      <c r="I72" s="19"/>
    </row>
    <row r="73" spans="2:9" ht="15.75">
      <c r="B73" s="39" t="s">
        <v>50</v>
      </c>
      <c r="C73" s="19"/>
      <c r="D73" s="19"/>
      <c r="E73" s="19"/>
      <c r="F73" s="40">
        <f>G49</f>
        <v>873.6099999998696</v>
      </c>
      <c r="G73" s="40" t="s">
        <v>40</v>
      </c>
      <c r="H73" s="19"/>
      <c r="I73" s="19"/>
    </row>
    <row r="74" spans="2:9" ht="12.75">
      <c r="B74" s="24" t="s">
        <v>52</v>
      </c>
      <c r="C74" s="19"/>
      <c r="D74" s="19"/>
      <c r="E74" s="19"/>
      <c r="F74" s="32"/>
      <c r="G74" s="19"/>
      <c r="H74" s="19"/>
      <c r="I74" s="19"/>
    </row>
    <row r="75" spans="2:9" ht="12.75">
      <c r="B75" s="24" t="s">
        <v>53</v>
      </c>
      <c r="C75" s="19"/>
      <c r="D75" s="19"/>
      <c r="E75" s="19"/>
      <c r="F75" s="32"/>
      <c r="G75" s="19"/>
      <c r="H75" s="19"/>
      <c r="I75" s="19"/>
    </row>
    <row r="76" spans="2:9" ht="12.75">
      <c r="B76" s="13"/>
      <c r="C76" s="19"/>
      <c r="D76" s="19"/>
      <c r="E76" s="19"/>
      <c r="F76" s="19"/>
      <c r="G76" s="19"/>
      <c r="H76" s="19"/>
      <c r="I76" s="19"/>
    </row>
    <row r="77" spans="2:9" ht="15.75">
      <c r="B77" s="39" t="s">
        <v>56</v>
      </c>
      <c r="C77" s="19"/>
      <c r="D77" s="19"/>
      <c r="E77" s="19"/>
      <c r="F77" s="40">
        <f>D5+F69</f>
        <v>451473.89</v>
      </c>
      <c r="G77" s="40" t="s">
        <v>40</v>
      </c>
      <c r="H77" s="19"/>
      <c r="I77" s="19"/>
    </row>
    <row r="78" spans="2:9" ht="12.75">
      <c r="B78" s="24" t="s">
        <v>38</v>
      </c>
      <c r="C78" s="19"/>
      <c r="D78" s="19"/>
      <c r="E78" s="19"/>
      <c r="F78" s="32"/>
      <c r="G78" s="19"/>
      <c r="H78" s="19"/>
      <c r="I78" s="19"/>
    </row>
    <row r="79" spans="2:9" ht="12.75">
      <c r="B79" s="24" t="s">
        <v>39</v>
      </c>
      <c r="C79" s="19"/>
      <c r="D79" s="19"/>
      <c r="E79" s="19"/>
      <c r="F79" s="32"/>
      <c r="G79" s="19"/>
      <c r="H79" s="19"/>
      <c r="I79" s="19"/>
    </row>
    <row r="80" spans="2:9" ht="12.75">
      <c r="B80" s="38"/>
      <c r="C80" s="19"/>
      <c r="D80" s="19"/>
      <c r="E80" s="19"/>
      <c r="F80" s="32"/>
      <c r="G80" s="19"/>
      <c r="H80" s="19"/>
      <c r="I80" s="19"/>
    </row>
    <row r="81" spans="2:9" ht="15.75">
      <c r="B81" s="39" t="s">
        <v>51</v>
      </c>
      <c r="C81" s="19"/>
      <c r="D81" s="19"/>
      <c r="E81" s="19"/>
      <c r="F81" s="40">
        <f>-147580.9-509889.26</f>
        <v>-657470.16</v>
      </c>
      <c r="G81" s="40" t="s">
        <v>40</v>
      </c>
      <c r="H81" s="19"/>
      <c r="I81" s="19"/>
    </row>
    <row r="82" spans="2:9" ht="12.75">
      <c r="B82" s="24" t="s">
        <v>52</v>
      </c>
      <c r="C82" s="19"/>
      <c r="D82" s="19"/>
      <c r="E82" s="19"/>
      <c r="F82" s="32"/>
      <c r="G82" s="19"/>
      <c r="H82" s="19"/>
      <c r="I82" s="19"/>
    </row>
    <row r="83" spans="2:9" ht="12.75">
      <c r="B83" s="24" t="s">
        <v>53</v>
      </c>
      <c r="C83" s="19"/>
      <c r="D83" s="19"/>
      <c r="E83" s="19"/>
      <c r="F83" s="32"/>
      <c r="G83" s="19"/>
      <c r="H83" s="19"/>
      <c r="I83" s="19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1:3" s="11" customFormat="1" ht="12.75">
      <c r="A85" s="37"/>
      <c r="C85" s="21" t="s">
        <v>20</v>
      </c>
    </row>
    <row r="86" spans="2:9" ht="12.75">
      <c r="B86" s="11"/>
      <c r="C86" s="62"/>
      <c r="D86" s="62"/>
      <c r="E86" s="62"/>
      <c r="F86" s="62"/>
      <c r="G86" s="62"/>
      <c r="H86" s="62"/>
      <c r="I86" s="62"/>
    </row>
    <row r="87" spans="2:6" ht="15">
      <c r="B87" s="17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  <row r="94" spans="2:6" ht="14.25">
      <c r="B94" s="68"/>
      <c r="C94" s="68"/>
      <c r="D94" s="68"/>
      <c r="E94" s="68"/>
      <c r="F94" s="68"/>
    </row>
  </sheetData>
  <sheetProtection/>
  <mergeCells count="19">
    <mergeCell ref="G44:G45"/>
    <mergeCell ref="F42:F43"/>
    <mergeCell ref="G14:G16"/>
    <mergeCell ref="C44:C45"/>
    <mergeCell ref="D44:D45"/>
    <mergeCell ref="F44:F45"/>
    <mergeCell ref="C42:C43"/>
    <mergeCell ref="D42:D43"/>
    <mergeCell ref="E44:E45"/>
    <mergeCell ref="B44:B45"/>
    <mergeCell ref="B13:G13"/>
    <mergeCell ref="B18:G18"/>
    <mergeCell ref="E42:E43"/>
    <mergeCell ref="C14:C16"/>
    <mergeCell ref="D14:D16"/>
    <mergeCell ref="E14:E16"/>
    <mergeCell ref="F14:F16"/>
    <mergeCell ref="B42:B43"/>
    <mergeCell ref="G42:G43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61">
      <selection activeCell="D45" sqref="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89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66157.53000000014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'[16]Sheet1'!$N$15</f>
        <v>266892</v>
      </c>
      <c r="D15" s="50">
        <f>'[16]Sheet1'!$R$15</f>
        <v>267426</v>
      </c>
      <c r="E15" s="50">
        <f>D15-C15</f>
        <v>534</v>
      </c>
      <c r="F15" s="50">
        <f>'[16]Sheet1'!$T$15</f>
        <v>266892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266892</v>
      </c>
      <c r="D18" s="26">
        <f>D15</f>
        <v>267426</v>
      </c>
      <c r="E18" s="26">
        <f>E15</f>
        <v>534</v>
      </c>
      <c r="F18" s="26">
        <f>F15</f>
        <v>266892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'[16]Sheet1'!$N$18</f>
        <v>90116</v>
      </c>
      <c r="D21" s="25">
        <f>'[16]Sheet1'!$R$18</f>
        <v>90297</v>
      </c>
      <c r="E21" s="25">
        <f>D21-C21</f>
        <v>181</v>
      </c>
      <c r="F21" s="25">
        <f>'[16]Sheet1'!$T$18</f>
        <v>90116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'[16]Sheet1'!$N$19</f>
        <v>5994</v>
      </c>
      <c r="D22" s="25">
        <f>'[16]Sheet1'!$R$19</f>
        <v>6006</v>
      </c>
      <c r="E22" s="25">
        <f>D22-C22</f>
        <v>12</v>
      </c>
      <c r="F22" s="25">
        <f>'[16]Sheet1'!$T$19</f>
        <v>5994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'[16]Sheet1'!$N$20</f>
        <v>26675</v>
      </c>
      <c r="D23" s="25">
        <f>'[16]Sheet1'!$R$20</f>
        <v>26729</v>
      </c>
      <c r="E23" s="25">
        <f>D23-C23</f>
        <v>54</v>
      </c>
      <c r="F23" s="25">
        <f>'[16]Sheet1'!$T$20</f>
        <v>26675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'[16]Sheet1'!$N$22+'[16]Sheet1'!$N$23</f>
        <v>102725</v>
      </c>
      <c r="D24" s="25">
        <f>'[16]Sheet1'!$R$22+'[16]Sheet1'!$R$23</f>
        <v>102931</v>
      </c>
      <c r="E24" s="25">
        <f>D24-C24</f>
        <v>206</v>
      </c>
      <c r="F24" s="25">
        <f>'[16]Sheet1'!$T$22+'[16]Sheet1'!$T$23</f>
        <v>106093</v>
      </c>
      <c r="G24" s="25">
        <f>C24-F24</f>
        <v>-3368</v>
      </c>
      <c r="H24" s="62"/>
      <c r="I24" s="62"/>
    </row>
    <row r="25" spans="2:9" ht="17.25" customHeight="1" thickBot="1">
      <c r="B25" s="10" t="s">
        <v>60</v>
      </c>
      <c r="C25" s="25">
        <f>'[16]Sheet1'!$N$25</f>
        <v>398093</v>
      </c>
      <c r="D25" s="25">
        <f>'[16]Sheet1'!$R$25</f>
        <v>398890</v>
      </c>
      <c r="E25" s="25">
        <f>D25-C25</f>
        <v>797</v>
      </c>
      <c r="F25" s="25">
        <f>C25</f>
        <v>398093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f>'[16]Sheet1'!$N$24</f>
        <v>122186</v>
      </c>
      <c r="D26" s="25">
        <f>'[16]Sheet1'!$R$24</f>
        <v>122430</v>
      </c>
      <c r="E26" s="25">
        <f>D26-C26</f>
        <v>244</v>
      </c>
      <c r="F26" s="25">
        <f>C26</f>
        <v>122186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'[16]Sheet1'!$N$26</f>
        <v>253394</v>
      </c>
      <c r="D27" s="25">
        <f>'[16]Sheet1'!$R$26</f>
        <v>253901</v>
      </c>
      <c r="E27" s="25">
        <f>D27-C27</f>
        <v>507</v>
      </c>
      <c r="F27" s="25">
        <f>'[16]Sheet1'!$T$26</f>
        <v>253394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'[16]Sheet1'!$N$41+'[16]Sheet1'!$N$42</f>
        <v>26511</v>
      </c>
      <c r="D28" s="25">
        <f>'[16]Sheet1'!$R$41+'[16]Sheet1'!$R$42</f>
        <v>26564</v>
      </c>
      <c r="E28" s="25">
        <f>D28-C28</f>
        <v>53</v>
      </c>
      <c r="F28" s="25">
        <f>'[16]Sheet1'!$T$41+'[16]Sheet1'!$T$42</f>
        <v>26511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1025694</v>
      </c>
      <c r="D29" s="26">
        <f>SUM(D20:D28)</f>
        <v>1027748</v>
      </c>
      <c r="E29" s="26">
        <f>SUM(E20:E28)</f>
        <v>2054</v>
      </c>
      <c r="F29" s="26">
        <f>SUM(F20:F28)</f>
        <v>1029062</v>
      </c>
      <c r="G29" s="26">
        <f>SUM(G20:G28)</f>
        <v>-3368</v>
      </c>
      <c r="H29" s="62"/>
      <c r="I29" s="62"/>
    </row>
    <row r="30" spans="2:9" ht="13.5" thickBot="1">
      <c r="B30" s="7" t="s">
        <v>15</v>
      </c>
      <c r="C30" s="26">
        <f>C18+C29</f>
        <v>1292586</v>
      </c>
      <c r="D30" s="26">
        <f>D18+D29</f>
        <v>1295174</v>
      </c>
      <c r="E30" s="26">
        <f>E18+E29</f>
        <v>2588</v>
      </c>
      <c r="F30" s="26">
        <f>F18+F29</f>
        <v>1295954</v>
      </c>
      <c r="G30" s="26">
        <f>G18+G29</f>
        <v>-3368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'[16]Sheet1'!$N$12</f>
        <v>563473</v>
      </c>
      <c r="D35" s="28">
        <f>'[16]Sheet1'!$R$12</f>
        <v>564601</v>
      </c>
      <c r="E35" s="28">
        <f>D35-C35</f>
        <v>1128</v>
      </c>
      <c r="F35" s="28">
        <f>'[16]Sheet1'!$U$12</f>
        <v>471803</v>
      </c>
      <c r="G35" s="28">
        <f>C35-F35</f>
        <v>91670</v>
      </c>
      <c r="H35" s="65"/>
      <c r="I35" s="62"/>
    </row>
    <row r="36" spans="2:9" ht="13.5" thickBot="1">
      <c r="B36" s="6" t="s">
        <v>18</v>
      </c>
      <c r="C36" s="29">
        <f>C35</f>
        <v>563473</v>
      </c>
      <c r="D36" s="29">
        <f>D35</f>
        <v>564601</v>
      </c>
      <c r="E36" s="29">
        <f>E35</f>
        <v>1128</v>
      </c>
      <c r="F36" s="29">
        <f>F35</f>
        <v>471803</v>
      </c>
      <c r="G36" s="29">
        <f>G35</f>
        <v>91670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'[16]Sheet1'!$N$33</f>
        <v>646560</v>
      </c>
      <c r="D41" s="50">
        <f>'[16]Sheet1'!$R$33</f>
        <v>647854</v>
      </c>
      <c r="E41" s="50">
        <f>D41-C41</f>
        <v>1294</v>
      </c>
      <c r="F41" s="50">
        <f>'[16]Sheet1'!$T$33</f>
        <v>680763</v>
      </c>
      <c r="G41" s="50">
        <f>C41-F41</f>
        <v>-34203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88</v>
      </c>
      <c r="C43" s="50">
        <f>2423915.47-84085.71</f>
        <v>2339829.7600000002</v>
      </c>
      <c r="D43" s="79">
        <v>2295211</v>
      </c>
      <c r="E43" s="50">
        <f>D43-C43</f>
        <v>-44618.76000000024</v>
      </c>
      <c r="F43" s="50">
        <f>'[16]Sheet1'!$T$36</f>
        <v>2203191</v>
      </c>
      <c r="G43" s="50">
        <f>C43-F43</f>
        <v>136638.76000000024</v>
      </c>
      <c r="H43" s="62"/>
      <c r="I43" s="62"/>
    </row>
    <row r="44" spans="2:9" ht="36" customHeight="1" thickBot="1">
      <c r="B44" s="55"/>
      <c r="C44" s="51"/>
      <c r="D44" s="78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2986389.7600000002</v>
      </c>
      <c r="D45" s="29">
        <f>D41+D43</f>
        <v>2943065</v>
      </c>
      <c r="E45" s="29">
        <f>E41+E43</f>
        <v>-43324.76000000024</v>
      </c>
      <c r="F45" s="29">
        <f>F41+F43</f>
        <v>2883954</v>
      </c>
      <c r="G45" s="29">
        <f>G41+G43</f>
        <v>102435.76000000024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-39608.76000000024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3716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-43324.76000000024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0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0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190737.76000000024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88302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102435.76000000024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1220.87+400+700+2400*4</f>
        <v>11920.869999999999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202658.63000000024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-39608.76000000024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268816.1600000004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-318027.38-131720.55</f>
        <v>-449747.93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40">
      <selection activeCell="C44" sqref="C44:C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90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-272169.04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2" customHeight="1">
      <c r="B9" s="12"/>
      <c r="C9" s="72"/>
      <c r="D9" s="72"/>
      <c r="E9" s="72"/>
      <c r="F9" s="72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'[17]Sheet1'!$N$15</f>
        <v>198118</v>
      </c>
      <c r="D14" s="50">
        <f>'[17]Sheet1'!$R$15</f>
        <v>192208</v>
      </c>
      <c r="E14" s="50">
        <f>D14-C14</f>
        <v>-5910</v>
      </c>
      <c r="F14" s="50">
        <f>'[17]Sheet1'!$T$15</f>
        <v>198118</v>
      </c>
      <c r="G14" s="50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52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53"/>
      <c r="H16" s="62"/>
      <c r="I16" s="62"/>
    </row>
    <row r="17" spans="2:9" ht="13.5" thickBot="1">
      <c r="B17" s="6" t="s">
        <v>7</v>
      </c>
      <c r="C17" s="26">
        <f>C14</f>
        <v>198118</v>
      </c>
      <c r="D17" s="26">
        <f>D14</f>
        <v>192208</v>
      </c>
      <c r="E17" s="26">
        <f>E14</f>
        <v>-5910</v>
      </c>
      <c r="F17" s="26">
        <f>F14</f>
        <v>198118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70</v>
      </c>
      <c r="C19" s="25">
        <v>0</v>
      </c>
      <c r="D19" s="25">
        <v>0</v>
      </c>
      <c r="E19" s="25">
        <f>D19-C19</f>
        <v>0</v>
      </c>
      <c r="F19" s="25">
        <f>C19</f>
        <v>0</v>
      </c>
      <c r="G19" s="25">
        <f>C19-F19</f>
        <v>0</v>
      </c>
      <c r="H19" s="62"/>
      <c r="I19" s="62"/>
    </row>
    <row r="20" spans="2:9" ht="27" customHeight="1" thickBot="1">
      <c r="B20" s="10" t="s">
        <v>9</v>
      </c>
      <c r="C20" s="25">
        <f>'[17]Sheet1'!$N$18</f>
        <v>62702</v>
      </c>
      <c r="D20" s="25">
        <f>'[17]Sheet1'!$R$18</f>
        <v>60832</v>
      </c>
      <c r="E20" s="25">
        <f>D20-C20</f>
        <v>-1870</v>
      </c>
      <c r="F20" s="25">
        <f>'[17]Sheet1'!$T$18</f>
        <v>62702</v>
      </c>
      <c r="G20" s="25">
        <f>C20-F20</f>
        <v>0</v>
      </c>
      <c r="H20" s="62"/>
      <c r="I20" s="62"/>
    </row>
    <row r="21" spans="2:9" ht="19.5" customHeight="1" thickBot="1">
      <c r="B21" s="10" t="s">
        <v>10</v>
      </c>
      <c r="C21" s="25">
        <f>'[17]Sheet1'!$N$19</f>
        <v>4171</v>
      </c>
      <c r="D21" s="25">
        <f>'[17]Sheet1'!$R$19</f>
        <v>4046</v>
      </c>
      <c r="E21" s="25">
        <f>D21-C21</f>
        <v>-125</v>
      </c>
      <c r="F21" s="25">
        <f>'[17]Sheet1'!$T$19</f>
        <v>4171</v>
      </c>
      <c r="G21" s="25">
        <f>C21-F21</f>
        <v>0</v>
      </c>
      <c r="H21" s="62"/>
      <c r="I21" s="62"/>
    </row>
    <row r="22" spans="2:9" ht="21" customHeight="1" thickBot="1">
      <c r="B22" s="10" t="s">
        <v>11</v>
      </c>
      <c r="C22" s="25">
        <f>'[17]Sheet1'!$N$20</f>
        <v>18555</v>
      </c>
      <c r="D22" s="25">
        <f>'[17]Sheet1'!$R$20</f>
        <v>18002</v>
      </c>
      <c r="E22" s="25">
        <f>D22-C22</f>
        <v>-553</v>
      </c>
      <c r="F22" s="25">
        <f>'[17]Sheet1'!$T$20</f>
        <v>18555</v>
      </c>
      <c r="G22" s="25">
        <f>C22-F22</f>
        <v>0</v>
      </c>
      <c r="H22" s="62"/>
      <c r="I22" s="62"/>
    </row>
    <row r="23" spans="2:9" ht="25.5" customHeight="1" thickBot="1">
      <c r="B23" s="10" t="s">
        <v>12</v>
      </c>
      <c r="C23" s="25">
        <f>'[17]Sheet1'!$N$22+'[17]Sheet1'!$N$23</f>
        <v>72105</v>
      </c>
      <c r="D23" s="25">
        <f>'[17]Sheet1'!$R$22+'[17]Sheet1'!$R$23</f>
        <v>69954</v>
      </c>
      <c r="E23" s="25">
        <f>D23-C23</f>
        <v>-2151</v>
      </c>
      <c r="F23" s="25">
        <f>'[17]Sheet1'!$T$22+'[17]Sheet1'!$T$23</f>
        <v>139240</v>
      </c>
      <c r="G23" s="25">
        <f>C23-F23</f>
        <v>-67135</v>
      </c>
      <c r="H23" s="62"/>
      <c r="I23" s="62"/>
    </row>
    <row r="24" spans="2:9" ht="17.25" customHeight="1" thickBot="1">
      <c r="B24" s="10" t="s">
        <v>60</v>
      </c>
      <c r="C24" s="25">
        <f>'[17]Sheet1'!$N$25</f>
        <v>281551</v>
      </c>
      <c r="D24" s="25">
        <f>'[17]Sheet1'!$R$25</f>
        <v>273153</v>
      </c>
      <c r="E24" s="25">
        <f>D24-C24</f>
        <v>-8398</v>
      </c>
      <c r="F24" s="25">
        <f>C24</f>
        <v>281551</v>
      </c>
      <c r="G24" s="25">
        <f>C24-F24</f>
        <v>0</v>
      </c>
      <c r="H24" s="62"/>
      <c r="I24" s="62"/>
    </row>
    <row r="25" spans="2:9" ht="17.25" customHeight="1" thickBot="1">
      <c r="B25" s="10" t="s">
        <v>61</v>
      </c>
      <c r="C25" s="25">
        <f>'[17]Sheet1'!$N$24</f>
        <v>85003</v>
      </c>
      <c r="D25" s="25">
        <f>'[17]Sheet1'!$R$24</f>
        <v>82468</v>
      </c>
      <c r="E25" s="25">
        <f>D25-C25</f>
        <v>-2535</v>
      </c>
      <c r="F25" s="25">
        <f>'[17]Sheet1'!$T$24</f>
        <v>85003</v>
      </c>
      <c r="G25" s="25">
        <f>C25-F25</f>
        <v>0</v>
      </c>
      <c r="H25" s="62"/>
      <c r="I25" s="62"/>
    </row>
    <row r="26" spans="2:9" ht="25.5" customHeight="1" thickBot="1">
      <c r="B26" s="10" t="s">
        <v>13</v>
      </c>
      <c r="C26" s="25">
        <f>'[17]Sheet1'!$N$26</f>
        <v>176254</v>
      </c>
      <c r="D26" s="25">
        <f>'[17]Sheet1'!$R$26</f>
        <v>170996</v>
      </c>
      <c r="E26" s="25">
        <f>D26-C26</f>
        <v>-5258</v>
      </c>
      <c r="F26" s="25">
        <f>'[17]Sheet1'!$T$26</f>
        <v>176254</v>
      </c>
      <c r="G26" s="25">
        <f>C26-F26</f>
        <v>0</v>
      </c>
      <c r="H26" s="62"/>
      <c r="I26" s="62"/>
    </row>
    <row r="27" spans="2:9" ht="25.5" customHeight="1" thickBot="1">
      <c r="B27" s="10" t="s">
        <v>14</v>
      </c>
      <c r="C27" s="25">
        <f>'[17]Sheet1'!$N$41+'[17]Sheet1'!$N$42</f>
        <v>18453</v>
      </c>
      <c r="D27" s="25">
        <f>'[17]Sheet1'!$R$41+'[17]Sheet1'!$R$42</f>
        <v>17902</v>
      </c>
      <c r="E27" s="25">
        <f>D27-C27</f>
        <v>-551</v>
      </c>
      <c r="F27" s="25">
        <f>'[17]Sheet1'!$T$41+'[17]Sheet1'!$T$42</f>
        <v>18453</v>
      </c>
      <c r="G27" s="25">
        <f>C27-F27</f>
        <v>0</v>
      </c>
      <c r="H27" s="62"/>
      <c r="I27" s="62"/>
    </row>
    <row r="28" spans="2:9" ht="13.5" thickBot="1">
      <c r="B28" s="6" t="s">
        <v>7</v>
      </c>
      <c r="C28" s="26">
        <f>SUM(C19:C27)</f>
        <v>718794</v>
      </c>
      <c r="D28" s="26">
        <f>SUM(D19:D27)</f>
        <v>697353</v>
      </c>
      <c r="E28" s="26">
        <f>SUM(E19:E27)</f>
        <v>-21441</v>
      </c>
      <c r="F28" s="26">
        <f>SUM(F19:F27)</f>
        <v>785929</v>
      </c>
      <c r="G28" s="26">
        <f>SUM(G19:G27)</f>
        <v>-67135</v>
      </c>
      <c r="H28" s="62"/>
      <c r="I28" s="62"/>
    </row>
    <row r="29" spans="2:9" ht="13.5" thickBot="1">
      <c r="B29" s="7" t="s">
        <v>15</v>
      </c>
      <c r="C29" s="26">
        <f>C17+C28</f>
        <v>916912</v>
      </c>
      <c r="D29" s="26">
        <f>D17+D28</f>
        <v>889561</v>
      </c>
      <c r="E29" s="26">
        <f>E17+E28</f>
        <v>-27351</v>
      </c>
      <c r="F29" s="26">
        <f>F17+F28</f>
        <v>984047</v>
      </c>
      <c r="G29" s="26">
        <f>G17+G28</f>
        <v>-67135</v>
      </c>
      <c r="H29" s="62"/>
      <c r="I29" s="62"/>
    </row>
    <row r="30" spans="2:9" ht="12.75">
      <c r="B30" s="11"/>
      <c r="C30" s="62"/>
      <c r="D30" s="62"/>
      <c r="E30" s="62"/>
      <c r="F30" s="62"/>
      <c r="G30" s="62"/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'[17]Sheet1'!$N$12</f>
        <v>400822</v>
      </c>
      <c r="D35" s="28">
        <f>'[17]Sheet1'!$R$12</f>
        <v>388865</v>
      </c>
      <c r="E35" s="28">
        <f>D35-C35</f>
        <v>-11957</v>
      </c>
      <c r="F35" s="28">
        <f>'[17]Sheet1'!$U$12</f>
        <v>104496</v>
      </c>
      <c r="G35" s="28">
        <f>C35-F35</f>
        <v>296326</v>
      </c>
      <c r="H35" s="65"/>
      <c r="I35" s="62"/>
    </row>
    <row r="36" spans="2:9" ht="13.5" thickBot="1">
      <c r="B36" s="6" t="s">
        <v>18</v>
      </c>
      <c r="C36" s="29">
        <f>C35</f>
        <v>400822</v>
      </c>
      <c r="D36" s="29">
        <f>D35</f>
        <v>388865</v>
      </c>
      <c r="E36" s="29">
        <f>E35</f>
        <v>-11957</v>
      </c>
      <c r="F36" s="29">
        <f>F35</f>
        <v>104496</v>
      </c>
      <c r="G36" s="29">
        <f>G35</f>
        <v>296326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2.75">
      <c r="B38" s="13"/>
      <c r="C38" s="62"/>
      <c r="D38" s="62"/>
      <c r="E38" s="62"/>
      <c r="F38" s="62"/>
      <c r="G38" s="62"/>
      <c r="H38" s="62"/>
      <c r="I38" s="62"/>
    </row>
    <row r="39" spans="2:9" ht="13.5" thickBot="1">
      <c r="B39" s="18" t="s">
        <v>30</v>
      </c>
      <c r="C39" s="62"/>
      <c r="D39" s="62"/>
      <c r="E39" s="62"/>
      <c r="F39" s="62"/>
      <c r="G39" s="62"/>
      <c r="H39" s="62"/>
      <c r="I39" s="62"/>
    </row>
    <row r="40" spans="2:9" ht="103.5" customHeight="1" thickBot="1">
      <c r="B40" s="22" t="s">
        <v>3</v>
      </c>
      <c r="C40" s="5" t="s">
        <v>25</v>
      </c>
      <c r="D40" s="8" t="s">
        <v>26</v>
      </c>
      <c r="E40" s="23" t="s">
        <v>31</v>
      </c>
      <c r="F40" s="5" t="s">
        <v>27</v>
      </c>
      <c r="G40" s="22" t="s">
        <v>29</v>
      </c>
      <c r="H40" s="62"/>
      <c r="I40" s="62"/>
    </row>
    <row r="41" spans="2:9" ht="13.5" customHeight="1" thickBot="1">
      <c r="B41" s="43">
        <v>1</v>
      </c>
      <c r="C41" s="44">
        <v>2</v>
      </c>
      <c r="D41" s="44">
        <v>3</v>
      </c>
      <c r="E41" s="44" t="s">
        <v>42</v>
      </c>
      <c r="F41" s="44">
        <v>5</v>
      </c>
      <c r="G41" s="45" t="s">
        <v>43</v>
      </c>
      <c r="H41" s="62"/>
      <c r="I41" s="62"/>
    </row>
    <row r="42" spans="2:9" ht="16.5" customHeight="1">
      <c r="B42" s="54" t="s">
        <v>46</v>
      </c>
      <c r="C42" s="50">
        <f>'[17]Sheet1'!$N$33</f>
        <v>453955</v>
      </c>
      <c r="D42" s="50">
        <f>'[17]Sheet1'!$R$33</f>
        <v>440413</v>
      </c>
      <c r="E42" s="50">
        <f>D42-C42</f>
        <v>-13542</v>
      </c>
      <c r="F42" s="50">
        <f>'[17]Sheet1'!$T$33</f>
        <v>589284</v>
      </c>
      <c r="G42" s="50">
        <f>C42-F42</f>
        <v>-135329</v>
      </c>
      <c r="H42" s="62"/>
      <c r="I42" s="62"/>
    </row>
    <row r="43" spans="2:9" ht="24" customHeight="1" thickBot="1">
      <c r="B43" s="55"/>
      <c r="C43" s="51"/>
      <c r="D43" s="51"/>
      <c r="E43" s="51"/>
      <c r="F43" s="51"/>
      <c r="G43" s="51"/>
      <c r="H43" s="62"/>
      <c r="I43" s="62"/>
    </row>
    <row r="44" spans="2:9" ht="17.25" customHeight="1">
      <c r="B44" s="54" t="s">
        <v>44</v>
      </c>
      <c r="C44" s="50">
        <f>2113494.36-105477.17</f>
        <v>2008017.19</v>
      </c>
      <c r="D44" s="50">
        <v>1935015.4</v>
      </c>
      <c r="E44" s="50">
        <f>D44-C44</f>
        <v>-73001.79000000004</v>
      </c>
      <c r="F44" s="50">
        <f>C44</f>
        <v>2008017.19</v>
      </c>
      <c r="G44" s="50">
        <f>C44-F44</f>
        <v>0</v>
      </c>
      <c r="H44" s="62"/>
      <c r="I44" s="62"/>
    </row>
    <row r="45" spans="2:9" ht="13.5" thickBot="1">
      <c r="B45" s="55"/>
      <c r="C45" s="51"/>
      <c r="D45" s="51"/>
      <c r="E45" s="51"/>
      <c r="F45" s="51"/>
      <c r="G45" s="51"/>
      <c r="H45" s="62"/>
      <c r="I45" s="62"/>
    </row>
    <row r="46" spans="2:9" ht="13.5" thickBot="1">
      <c r="B46" s="7" t="s">
        <v>19</v>
      </c>
      <c r="C46" s="29">
        <f>C42+C44</f>
        <v>2461972.19</v>
      </c>
      <c r="D46" s="29">
        <f>D42+D44</f>
        <v>2375428.4</v>
      </c>
      <c r="E46" s="29">
        <f>E42+E44</f>
        <v>-86543.79000000004</v>
      </c>
      <c r="F46" s="29">
        <f>F42+F44</f>
        <v>2597301.19</v>
      </c>
      <c r="G46" s="29">
        <f>G42+G44</f>
        <v>-135329</v>
      </c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11"/>
      <c r="C48" s="62"/>
      <c r="D48" s="62"/>
      <c r="E48" s="62"/>
      <c r="F48" s="62"/>
      <c r="G48" s="62"/>
      <c r="H48" s="62"/>
      <c r="I48" s="62"/>
    </row>
    <row r="49" spans="2:9" ht="12.75">
      <c r="B49" s="20" t="s">
        <v>62</v>
      </c>
      <c r="C49" s="62"/>
      <c r="D49" s="62"/>
      <c r="E49" s="62"/>
      <c r="F49" s="62"/>
      <c r="G49" s="31">
        <f>F51+F52</f>
        <v>-125851.79000000004</v>
      </c>
      <c r="H49" s="62"/>
      <c r="I49" s="62"/>
    </row>
    <row r="50" spans="2:9" ht="12.75">
      <c r="B50" s="30" t="s">
        <v>32</v>
      </c>
      <c r="C50" s="65"/>
      <c r="D50" s="62"/>
      <c r="E50" s="62"/>
      <c r="F50" s="62"/>
      <c r="G50" s="62"/>
      <c r="H50" s="62"/>
      <c r="I50" s="62"/>
    </row>
    <row r="51" spans="2:9" ht="12.75">
      <c r="B51" s="38" t="s">
        <v>63</v>
      </c>
      <c r="C51" s="62"/>
      <c r="D51" s="62"/>
      <c r="E51" s="62"/>
      <c r="F51" s="32">
        <f>(E29+E36)</f>
        <v>-39308</v>
      </c>
      <c r="G51" s="62"/>
      <c r="H51" s="62"/>
      <c r="I51" s="62"/>
    </row>
    <row r="52" spans="2:9" ht="12.75">
      <c r="B52" s="38" t="s">
        <v>64</v>
      </c>
      <c r="C52" s="62"/>
      <c r="D52" s="62"/>
      <c r="E52" s="62"/>
      <c r="F52" s="32">
        <f>(E46)</f>
        <v>-86543.79000000004</v>
      </c>
      <c r="G52" s="62"/>
      <c r="H52" s="62"/>
      <c r="I52" s="62"/>
    </row>
    <row r="53" spans="2:9" ht="12.75">
      <c r="B53" s="38"/>
      <c r="C53" s="62"/>
      <c r="D53" s="62"/>
      <c r="E53" s="62"/>
      <c r="F53" s="32"/>
      <c r="G53" s="62"/>
      <c r="H53" s="62"/>
      <c r="I53" s="62"/>
    </row>
    <row r="54" spans="2:9" s="33" customFormat="1" ht="12.75">
      <c r="B54" s="34" t="s">
        <v>87</v>
      </c>
      <c r="C54" s="66"/>
      <c r="D54" s="66"/>
      <c r="E54" s="67"/>
      <c r="F54" s="37"/>
      <c r="G54" s="31">
        <f>F56+F57</f>
        <v>-135329</v>
      </c>
      <c r="H54" s="66"/>
      <c r="I54" s="66"/>
    </row>
    <row r="55" spans="2:9" s="33" customFormat="1" ht="12.75">
      <c r="B55" s="30" t="s">
        <v>32</v>
      </c>
      <c r="C55" s="66"/>
      <c r="D55" s="66"/>
      <c r="E55" s="67"/>
      <c r="F55" s="37"/>
      <c r="G55" s="41"/>
      <c r="H55" s="66"/>
      <c r="I55" s="66"/>
    </row>
    <row r="56" spans="2:9" s="33" customFormat="1" ht="12.75">
      <c r="B56" s="38" t="s">
        <v>36</v>
      </c>
      <c r="C56" s="66"/>
      <c r="D56" s="66"/>
      <c r="E56" s="67"/>
      <c r="F56" s="32">
        <f>IF((G29+G36)&lt;=0,G29+G36,0)</f>
        <v>0</v>
      </c>
      <c r="G56" s="41"/>
      <c r="H56" s="66"/>
      <c r="I56" s="66"/>
    </row>
    <row r="57" spans="2:9" s="33" customFormat="1" ht="12.75">
      <c r="B57" s="38" t="s">
        <v>37</v>
      </c>
      <c r="C57" s="66"/>
      <c r="D57" s="66"/>
      <c r="E57" s="67"/>
      <c r="F57" s="32">
        <f>IF(G46&lt;=0,G46,0)</f>
        <v>-135329</v>
      </c>
      <c r="G57" s="41"/>
      <c r="H57" s="66"/>
      <c r="I57" s="66"/>
    </row>
    <row r="58" spans="2:9" s="33" customFormat="1" ht="12.75">
      <c r="B58" s="38"/>
      <c r="C58" s="66"/>
      <c r="D58" s="66"/>
      <c r="E58" s="67"/>
      <c r="F58" s="37"/>
      <c r="G58" s="41"/>
      <c r="H58" s="66"/>
      <c r="I58" s="66"/>
    </row>
    <row r="59" spans="2:9" s="33" customFormat="1" ht="12.75">
      <c r="B59" s="34" t="s">
        <v>65</v>
      </c>
      <c r="C59" s="66"/>
      <c r="D59" s="66"/>
      <c r="E59" s="67"/>
      <c r="F59" s="37"/>
      <c r="G59" s="31">
        <f>F61+F62</f>
        <v>229191</v>
      </c>
      <c r="H59" s="66"/>
      <c r="I59" s="66"/>
    </row>
    <row r="60" spans="2:9" ht="12.75">
      <c r="B60" s="30" t="s">
        <v>32</v>
      </c>
      <c r="C60" s="62"/>
      <c r="D60" s="62"/>
      <c r="E60" s="62"/>
      <c r="F60" s="11"/>
      <c r="G60" s="41"/>
      <c r="H60" s="62"/>
      <c r="I60" s="62"/>
    </row>
    <row r="61" spans="2:9" ht="12.75">
      <c r="B61" s="38" t="s">
        <v>36</v>
      </c>
      <c r="C61" s="62"/>
      <c r="D61" s="62"/>
      <c r="E61" s="62"/>
      <c r="F61" s="32">
        <f>IF((G29+G36)&gt;0,G29+G36,0)</f>
        <v>229191</v>
      </c>
      <c r="G61" s="62"/>
      <c r="H61" s="62"/>
      <c r="I61" s="62"/>
    </row>
    <row r="62" spans="2:9" ht="12.75">
      <c r="B62" s="38" t="s">
        <v>37</v>
      </c>
      <c r="C62" s="62"/>
      <c r="D62" s="62"/>
      <c r="E62" s="62"/>
      <c r="F62" s="32">
        <f>IF(G46&gt;0,G46,0)</f>
        <v>0</v>
      </c>
      <c r="G62" s="62"/>
      <c r="H62" s="62"/>
      <c r="I62" s="62"/>
    </row>
    <row r="63" spans="2:9" ht="12.75">
      <c r="B63" s="38"/>
      <c r="C63" s="62"/>
      <c r="D63" s="62"/>
      <c r="E63" s="62"/>
      <c r="F63" s="32"/>
      <c r="G63" s="62"/>
      <c r="H63" s="62"/>
      <c r="I63" s="62"/>
    </row>
    <row r="64" spans="2:9" ht="12.75">
      <c r="B64" s="49" t="s">
        <v>57</v>
      </c>
      <c r="C64" s="19"/>
      <c r="D64" s="19"/>
      <c r="E64" s="19"/>
      <c r="F64" s="11"/>
      <c r="G64" s="19"/>
      <c r="H64" s="19"/>
      <c r="I64" s="19"/>
    </row>
    <row r="65" spans="2:9" ht="12.75">
      <c r="B65" s="11" t="s">
        <v>58</v>
      </c>
      <c r="C65" s="19"/>
      <c r="D65" s="19"/>
      <c r="E65" s="48"/>
      <c r="F65" s="37"/>
      <c r="G65" s="31">
        <f>1220.87+400+700+2400*3</f>
        <v>9520.869999999999</v>
      </c>
      <c r="H65" s="19"/>
      <c r="I65" s="19"/>
    </row>
    <row r="66" spans="2:9" ht="12.75">
      <c r="B66" s="18"/>
      <c r="C66" s="19"/>
      <c r="D66" s="19"/>
      <c r="E66" s="19"/>
      <c r="F66" s="19"/>
      <c r="G66" s="19"/>
      <c r="H66" s="19"/>
      <c r="I66" s="19"/>
    </row>
    <row r="67" spans="2:9" ht="12.75">
      <c r="B67" s="38"/>
      <c r="C67" s="19"/>
      <c r="D67" s="19"/>
      <c r="E67" s="19"/>
      <c r="F67" s="32"/>
      <c r="G67" s="19"/>
      <c r="H67" s="19"/>
      <c r="I67" s="19"/>
    </row>
    <row r="68" spans="2:9" ht="15.75">
      <c r="B68" s="39" t="s">
        <v>49</v>
      </c>
      <c r="C68" s="19"/>
      <c r="D68" s="19"/>
      <c r="E68" s="19"/>
      <c r="F68" s="40">
        <f>G54+G59+G65</f>
        <v>103382.87</v>
      </c>
      <c r="G68" s="40" t="s">
        <v>40</v>
      </c>
      <c r="H68" s="19"/>
      <c r="I68" s="19"/>
    </row>
    <row r="69" spans="2:9" ht="12.75">
      <c r="B69" s="24" t="s">
        <v>38</v>
      </c>
      <c r="C69" s="19"/>
      <c r="D69" s="19"/>
      <c r="E69" s="19"/>
      <c r="F69" s="32"/>
      <c r="G69" s="19"/>
      <c r="H69" s="19"/>
      <c r="I69" s="19"/>
    </row>
    <row r="70" spans="2:9" ht="12.75">
      <c r="B70" s="24" t="s">
        <v>39</v>
      </c>
      <c r="C70" s="19"/>
      <c r="D70" s="19"/>
      <c r="E70" s="19"/>
      <c r="F70" s="32"/>
      <c r="G70" s="19"/>
      <c r="H70" s="19"/>
      <c r="I70" s="19"/>
    </row>
    <row r="71" spans="2:9" ht="12.75">
      <c r="B71" s="38"/>
      <c r="C71" s="19"/>
      <c r="D71" s="19"/>
      <c r="E71" s="19"/>
      <c r="F71" s="32"/>
      <c r="G71" s="19"/>
      <c r="H71" s="19"/>
      <c r="I71" s="19"/>
    </row>
    <row r="72" spans="2:9" ht="15.75">
      <c r="B72" s="39" t="s">
        <v>50</v>
      </c>
      <c r="C72" s="19"/>
      <c r="D72" s="19"/>
      <c r="E72" s="19"/>
      <c r="F72" s="40">
        <f>G49</f>
        <v>-125851.79000000004</v>
      </c>
      <c r="G72" s="40" t="s">
        <v>40</v>
      </c>
      <c r="H72" s="19"/>
      <c r="I72" s="19"/>
    </row>
    <row r="73" spans="2:9" ht="12.75">
      <c r="B73" s="24" t="s">
        <v>52</v>
      </c>
      <c r="C73" s="19"/>
      <c r="D73" s="19"/>
      <c r="E73" s="19"/>
      <c r="F73" s="32"/>
      <c r="G73" s="19"/>
      <c r="H73" s="19"/>
      <c r="I73" s="19"/>
    </row>
    <row r="74" spans="2:9" ht="12.75">
      <c r="B74" s="24" t="s">
        <v>53</v>
      </c>
      <c r="C74" s="19"/>
      <c r="D74" s="19"/>
      <c r="E74" s="19"/>
      <c r="F74" s="32"/>
      <c r="G74" s="19"/>
      <c r="H74" s="19"/>
      <c r="I74" s="19"/>
    </row>
    <row r="75" spans="2:9" ht="12.75">
      <c r="B75" s="13"/>
      <c r="C75" s="19"/>
      <c r="D75" s="19"/>
      <c r="E75" s="19"/>
      <c r="F75" s="19"/>
      <c r="G75" s="19"/>
      <c r="H75" s="19"/>
      <c r="I75" s="19"/>
    </row>
    <row r="76" spans="2:9" ht="15.75">
      <c r="B76" s="39" t="s">
        <v>56</v>
      </c>
      <c r="C76" s="19"/>
      <c r="D76" s="19"/>
      <c r="E76" s="19"/>
      <c r="F76" s="40">
        <f>D5+F68</f>
        <v>-168786.16999999998</v>
      </c>
      <c r="G76" s="40" t="s">
        <v>40</v>
      </c>
      <c r="H76" s="19"/>
      <c r="I76" s="19"/>
    </row>
    <row r="77" spans="2:9" ht="12.75">
      <c r="B77" s="24" t="s">
        <v>38</v>
      </c>
      <c r="C77" s="19"/>
      <c r="D77" s="19"/>
      <c r="E77" s="19"/>
      <c r="F77" s="32"/>
      <c r="G77" s="19"/>
      <c r="H77" s="19"/>
      <c r="I77" s="19"/>
    </row>
    <row r="78" spans="2:9" ht="12.75">
      <c r="B78" s="24" t="s">
        <v>39</v>
      </c>
      <c r="C78" s="19"/>
      <c r="D78" s="19"/>
      <c r="E78" s="19"/>
      <c r="F78" s="32"/>
      <c r="G78" s="19"/>
      <c r="H78" s="19"/>
      <c r="I78" s="19"/>
    </row>
    <row r="79" spans="2:9" ht="12.75">
      <c r="B79" s="38"/>
      <c r="C79" s="19"/>
      <c r="D79" s="19"/>
      <c r="E79" s="19"/>
      <c r="F79" s="32"/>
      <c r="G79" s="19"/>
      <c r="H79" s="19"/>
      <c r="I79" s="19"/>
    </row>
    <row r="80" spans="2:9" ht="15.75">
      <c r="B80" s="39" t="s">
        <v>51</v>
      </c>
      <c r="C80" s="19"/>
      <c r="D80" s="19"/>
      <c r="E80" s="19"/>
      <c r="F80" s="40">
        <f>-141112.83-317437.52</f>
        <v>-458550.35</v>
      </c>
      <c r="G80" s="40" t="s">
        <v>40</v>
      </c>
      <c r="H80" s="19"/>
      <c r="I80" s="19"/>
    </row>
    <row r="81" spans="2:9" ht="12.75">
      <c r="B81" s="24" t="s">
        <v>52</v>
      </c>
      <c r="C81" s="19"/>
      <c r="D81" s="19"/>
      <c r="E81" s="19"/>
      <c r="F81" s="32"/>
      <c r="G81" s="19"/>
      <c r="H81" s="19"/>
      <c r="I81" s="19"/>
    </row>
    <row r="82" spans="2:9" ht="12.75">
      <c r="B82" s="24" t="s">
        <v>53</v>
      </c>
      <c r="C82" s="19"/>
      <c r="D82" s="19"/>
      <c r="E82" s="19"/>
      <c r="F82" s="32"/>
      <c r="G82" s="19"/>
      <c r="H82" s="19"/>
      <c r="I82" s="19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1:3" s="11" customFormat="1" ht="12.75">
      <c r="A85" s="37"/>
      <c r="C85" s="21" t="s">
        <v>20</v>
      </c>
    </row>
    <row r="86" spans="2:9" ht="12.75">
      <c r="B86" s="11"/>
      <c r="C86" s="62"/>
      <c r="D86" s="62"/>
      <c r="E86" s="62"/>
      <c r="F86" s="62"/>
      <c r="G86" s="62"/>
      <c r="H86" s="62"/>
      <c r="I86" s="62"/>
    </row>
    <row r="87" spans="2:6" ht="15">
      <c r="B87" s="17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  <row r="94" spans="2:6" ht="14.25">
      <c r="B94" s="68"/>
      <c r="C94" s="68"/>
      <c r="D94" s="68"/>
      <c r="E94" s="68"/>
      <c r="F94" s="68"/>
    </row>
  </sheetData>
  <sheetProtection/>
  <mergeCells count="19">
    <mergeCell ref="B44:B45"/>
    <mergeCell ref="B13:G13"/>
    <mergeCell ref="B18:G18"/>
    <mergeCell ref="E42:E43"/>
    <mergeCell ref="C14:C16"/>
    <mergeCell ref="D14:D16"/>
    <mergeCell ref="E14:E16"/>
    <mergeCell ref="F14:F16"/>
    <mergeCell ref="B42:B43"/>
    <mergeCell ref="G42:G43"/>
    <mergeCell ref="G44:G45"/>
    <mergeCell ref="F42:F43"/>
    <mergeCell ref="G14:G16"/>
    <mergeCell ref="C44:C45"/>
    <mergeCell ref="D44:D45"/>
    <mergeCell ref="F44:F45"/>
    <mergeCell ref="C42:C43"/>
    <mergeCell ref="D42:D43"/>
    <mergeCell ref="E44:E45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92"/>
  <sheetViews>
    <sheetView zoomScalePageLayoutView="0" workbookViewId="0" topLeftCell="A64">
      <selection activeCell="C44" sqref="C44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5.00390625" style="0" customWidth="1"/>
    <col min="8" max="8" width="10.140625" style="0" bestFit="1" customWidth="1"/>
    <col min="10" max="10" width="12.57421875" style="0" customWidth="1"/>
  </cols>
  <sheetData>
    <row r="1" spans="2:6" ht="18.75">
      <c r="B1" s="1" t="s">
        <v>0</v>
      </c>
      <c r="C1" s="15"/>
      <c r="D1" s="15"/>
      <c r="E1" s="15"/>
      <c r="F1" s="15"/>
    </row>
    <row r="2" spans="1:6" ht="18.75">
      <c r="A2" s="42"/>
      <c r="B2" s="15"/>
      <c r="D2" s="2" t="s">
        <v>92</v>
      </c>
      <c r="E2" s="15"/>
      <c r="F2" s="15"/>
    </row>
    <row r="3" spans="2:6" ht="18.75">
      <c r="B3" s="15"/>
      <c r="D3" s="3" t="s">
        <v>45</v>
      </c>
      <c r="E3" s="15"/>
      <c r="F3" s="15"/>
    </row>
    <row r="4" spans="2:6" ht="15.75">
      <c r="B4" s="12"/>
      <c r="C4" s="14"/>
      <c r="D4" s="14"/>
      <c r="E4" s="14"/>
      <c r="F4" s="14"/>
    </row>
    <row r="5" spans="2:6" ht="15.75">
      <c r="B5" s="46" t="s">
        <v>54</v>
      </c>
      <c r="C5" s="14"/>
      <c r="D5" s="47">
        <v>-1800375.1600000001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4.25">
      <c r="B9" s="24"/>
      <c r="C9" s="16"/>
      <c r="D9" s="16"/>
      <c r="E9" s="16"/>
      <c r="F9" s="16"/>
    </row>
    <row r="10" spans="2:9" ht="13.5" thickBot="1">
      <c r="B10" s="18" t="s">
        <v>2</v>
      </c>
      <c r="C10" s="19"/>
      <c r="D10" s="19"/>
      <c r="E10" s="19"/>
      <c r="F10" s="19"/>
      <c r="G10" s="19"/>
      <c r="H10" s="19"/>
      <c r="I10" s="19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19"/>
      <c r="I11" s="81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19"/>
      <c r="I12" s="19"/>
    </row>
    <row r="13" spans="2:9" ht="13.5" thickBot="1">
      <c r="B13" s="56" t="s">
        <v>24</v>
      </c>
      <c r="C13" s="57"/>
      <c r="D13" s="57"/>
      <c r="E13" s="57"/>
      <c r="F13" s="57"/>
      <c r="G13" s="58"/>
      <c r="H13" s="19"/>
      <c r="I13" s="19"/>
    </row>
    <row r="14" spans="2:9" ht="38.25" customHeight="1">
      <c r="B14" s="9" t="s">
        <v>5</v>
      </c>
      <c r="C14" s="50">
        <f>'[18]Sheet1'!$N$15</f>
        <v>921550</v>
      </c>
      <c r="D14" s="50">
        <f>'[18]Sheet1'!$R$15</f>
        <v>904708</v>
      </c>
      <c r="E14" s="50">
        <f>D14-C14</f>
        <v>-16842</v>
      </c>
      <c r="F14" s="50">
        <f>C14</f>
        <v>921550</v>
      </c>
      <c r="G14" s="50">
        <f>C14-F14</f>
        <v>0</v>
      </c>
      <c r="H14" s="19"/>
      <c r="I14" s="27"/>
    </row>
    <row r="15" spans="2:9" ht="26.25" customHeight="1">
      <c r="B15" s="9" t="s">
        <v>22</v>
      </c>
      <c r="C15" s="52"/>
      <c r="D15" s="52"/>
      <c r="E15" s="52"/>
      <c r="F15" s="52"/>
      <c r="G15" s="52"/>
      <c r="H15" s="19"/>
      <c r="I15" s="19"/>
    </row>
    <row r="16" spans="2:9" ht="39" customHeight="1" thickBot="1">
      <c r="B16" s="10" t="s">
        <v>6</v>
      </c>
      <c r="C16" s="53"/>
      <c r="D16" s="53"/>
      <c r="E16" s="53"/>
      <c r="F16" s="53"/>
      <c r="G16" s="53"/>
      <c r="H16" s="19"/>
      <c r="I16" s="19"/>
    </row>
    <row r="17" spans="2:9" ht="13.5" thickBot="1">
      <c r="B17" s="6" t="s">
        <v>7</v>
      </c>
      <c r="C17" s="26">
        <f>C14</f>
        <v>921550</v>
      </c>
      <c r="D17" s="26">
        <f>D14</f>
        <v>904708</v>
      </c>
      <c r="E17" s="26">
        <f>E14</f>
        <v>-16842</v>
      </c>
      <c r="F17" s="26">
        <f>F14</f>
        <v>921550</v>
      </c>
      <c r="G17" s="26">
        <f>G14</f>
        <v>0</v>
      </c>
      <c r="H17" s="19"/>
      <c r="I17" s="19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19"/>
      <c r="I18" s="19"/>
    </row>
    <row r="19" spans="2:9" ht="25.5" customHeight="1" thickBot="1">
      <c r="B19" s="10" t="s">
        <v>70</v>
      </c>
      <c r="C19" s="25">
        <f>'[18]Sheet1'!$N$17</f>
        <v>71848</v>
      </c>
      <c r="D19" s="25">
        <f>'[18]Sheet1'!$R$17</f>
        <v>67654</v>
      </c>
      <c r="E19" s="25">
        <f>D19-C19</f>
        <v>-4194</v>
      </c>
      <c r="F19" s="25">
        <f>C19</f>
        <v>71848</v>
      </c>
      <c r="G19" s="25">
        <f>C19-F19</f>
        <v>0</v>
      </c>
      <c r="H19" s="62"/>
      <c r="I19" s="62"/>
    </row>
    <row r="20" spans="2:9" ht="27" customHeight="1" thickBot="1">
      <c r="B20" s="10" t="s">
        <v>9</v>
      </c>
      <c r="C20" s="25">
        <f>'[18]Sheet1'!$N$18</f>
        <v>289015</v>
      </c>
      <c r="D20" s="25">
        <f>'[18]Sheet1'!$R$18</f>
        <v>283737</v>
      </c>
      <c r="E20" s="25">
        <f>D20-C20</f>
        <v>-5278</v>
      </c>
      <c r="F20" s="25">
        <f>C20</f>
        <v>289015</v>
      </c>
      <c r="G20" s="25">
        <f>C20-F20</f>
        <v>0</v>
      </c>
      <c r="H20" s="19"/>
      <c r="I20" s="19"/>
    </row>
    <row r="21" spans="2:9" ht="25.5" customHeight="1" thickBot="1">
      <c r="B21" s="10" t="s">
        <v>10</v>
      </c>
      <c r="C21" s="25">
        <f>'[18]Sheet1'!$N$19</f>
        <v>19269</v>
      </c>
      <c r="D21" s="25">
        <f>'[18]Sheet1'!$R$19</f>
        <v>18917</v>
      </c>
      <c r="E21" s="25">
        <f>D21-C21</f>
        <v>-352</v>
      </c>
      <c r="F21" s="25">
        <f>C21</f>
        <v>19269</v>
      </c>
      <c r="G21" s="25">
        <f>C21-F21</f>
        <v>0</v>
      </c>
      <c r="H21" s="19"/>
      <c r="I21" s="19"/>
    </row>
    <row r="22" spans="2:9" ht="25.5" customHeight="1" thickBot="1">
      <c r="B22" s="10" t="s">
        <v>11</v>
      </c>
      <c r="C22" s="25">
        <f>'[18]Sheet1'!$N$20</f>
        <v>86019</v>
      </c>
      <c r="D22" s="25">
        <f>'[18]Sheet1'!$R$20</f>
        <v>84449</v>
      </c>
      <c r="E22" s="25">
        <f>D22-C22</f>
        <v>-1570</v>
      </c>
      <c r="F22" s="25">
        <f>C22</f>
        <v>86019</v>
      </c>
      <c r="G22" s="25">
        <f>C22-F22</f>
        <v>0</v>
      </c>
      <c r="H22" s="19"/>
      <c r="I22" s="19"/>
    </row>
    <row r="23" spans="2:9" ht="25.5" customHeight="1" thickBot="1">
      <c r="B23" s="10" t="s">
        <v>12</v>
      </c>
      <c r="C23" s="25">
        <f>'[18]Sheet1'!$N$22+'[18]Sheet1'!$N$23+'[18]Sheet1'!$N$39</f>
        <v>357893</v>
      </c>
      <c r="D23" s="25">
        <f>'[18]Sheet1'!$R$22+'[18]Sheet1'!$R$23+'[18]Sheet1'!$R$39</f>
        <v>351415</v>
      </c>
      <c r="E23" s="25">
        <f>D23-C23</f>
        <v>-6478</v>
      </c>
      <c r="F23" s="25">
        <f>'[18]Sheet1'!$T$22+'[18]Sheet1'!$T$23</f>
        <v>299306</v>
      </c>
      <c r="G23" s="25">
        <f>C23-F23</f>
        <v>58587</v>
      </c>
      <c r="H23" s="19"/>
      <c r="I23" s="19"/>
    </row>
    <row r="24" spans="2:9" ht="17.25" customHeight="1" thickBot="1">
      <c r="B24" s="10" t="s">
        <v>60</v>
      </c>
      <c r="C24" s="25">
        <f>'[18]Sheet1'!$N$25</f>
        <v>1272739</v>
      </c>
      <c r="D24" s="25">
        <f>'[18]Sheet1'!$R$25</f>
        <v>1249394</v>
      </c>
      <c r="E24" s="25">
        <f>D24-C24</f>
        <v>-23345</v>
      </c>
      <c r="F24" s="25">
        <f>C24</f>
        <v>1272739</v>
      </c>
      <c r="G24" s="25">
        <f>C24-F24</f>
        <v>0</v>
      </c>
      <c r="H24" s="19"/>
      <c r="I24" s="19"/>
    </row>
    <row r="25" spans="2:9" ht="17.25" customHeight="1" thickBot="1">
      <c r="B25" s="10" t="s">
        <v>61</v>
      </c>
      <c r="C25" s="25">
        <f>'[18]Sheet1'!$N$24</f>
        <v>391219</v>
      </c>
      <c r="D25" s="25">
        <f>'[18]Sheet1'!$R$24</f>
        <v>384086</v>
      </c>
      <c r="E25" s="25">
        <f>D25-C25</f>
        <v>-7133</v>
      </c>
      <c r="F25" s="25">
        <f>C25</f>
        <v>391219</v>
      </c>
      <c r="G25" s="25">
        <f>C25-F25</f>
        <v>0</v>
      </c>
      <c r="H25" s="19"/>
      <c r="I25" s="19"/>
    </row>
    <row r="26" spans="2:9" ht="25.5" customHeight="1" thickBot="1">
      <c r="B26" s="10" t="s">
        <v>13</v>
      </c>
      <c r="C26" s="25">
        <f>'[18]Sheet1'!$N$26</f>
        <v>816726</v>
      </c>
      <c r="D26" s="25">
        <f>'[18]Sheet1'!$R$26</f>
        <v>801821</v>
      </c>
      <c r="E26" s="25">
        <f>D26-C26</f>
        <v>-14905</v>
      </c>
      <c r="F26" s="25">
        <f>C26</f>
        <v>816726</v>
      </c>
      <c r="G26" s="25">
        <f>C26-F26</f>
        <v>0</v>
      </c>
      <c r="H26" s="19"/>
      <c r="I26" s="19"/>
    </row>
    <row r="27" spans="2:9" ht="25.5" customHeight="1" thickBot="1">
      <c r="B27" s="10" t="s">
        <v>14</v>
      </c>
      <c r="C27" s="25">
        <f>'[18]Sheet1'!$N$41+'[18]Sheet1'!$N$42</f>
        <v>85295</v>
      </c>
      <c r="D27" s="25">
        <f>'[18]Sheet1'!$R$41+'[18]Sheet1'!$R$42</f>
        <v>83742</v>
      </c>
      <c r="E27" s="25">
        <f>D27-C27</f>
        <v>-1553</v>
      </c>
      <c r="F27" s="25">
        <f>C27</f>
        <v>85295</v>
      </c>
      <c r="G27" s="25">
        <f>C27-F27</f>
        <v>0</v>
      </c>
      <c r="H27" s="19"/>
      <c r="I27" s="19"/>
    </row>
    <row r="28" spans="2:9" ht="13.5" thickBot="1">
      <c r="B28" s="6" t="s">
        <v>7</v>
      </c>
      <c r="C28" s="26">
        <f>SUM(C19:C27)</f>
        <v>3390023</v>
      </c>
      <c r="D28" s="26">
        <f>SUM(D19:D27)</f>
        <v>3325215</v>
      </c>
      <c r="E28" s="26">
        <f>SUM(E19:E27)</f>
        <v>-64808</v>
      </c>
      <c r="F28" s="26">
        <f>SUM(F19:F27)</f>
        <v>3331436</v>
      </c>
      <c r="G28" s="26">
        <f>SUM(G19:G27)</f>
        <v>58587</v>
      </c>
      <c r="H28" s="19"/>
      <c r="I28" s="19"/>
    </row>
    <row r="29" spans="2:9" ht="13.5" thickBot="1">
      <c r="B29" s="7" t="s">
        <v>15</v>
      </c>
      <c r="C29" s="26">
        <f>C17+C28</f>
        <v>4311573</v>
      </c>
      <c r="D29" s="26">
        <f>D17+D28</f>
        <v>4229923</v>
      </c>
      <c r="E29" s="26">
        <f>E17+E28</f>
        <v>-81650</v>
      </c>
      <c r="F29" s="26">
        <f>F17+F28</f>
        <v>4252986</v>
      </c>
      <c r="G29" s="26">
        <f>G17+G28</f>
        <v>58587</v>
      </c>
      <c r="H29" s="19"/>
      <c r="I29" s="19"/>
    </row>
    <row r="30" spans="2:9" ht="12.75">
      <c r="B30" s="11"/>
      <c r="C30" s="19"/>
      <c r="D30" s="19"/>
      <c r="E30" s="19"/>
      <c r="F30" s="19"/>
      <c r="G30" s="19"/>
      <c r="H30" s="19"/>
      <c r="I30" s="19"/>
    </row>
    <row r="31" spans="2:9" ht="13.5" thickBot="1">
      <c r="B31" s="18" t="s">
        <v>47</v>
      </c>
      <c r="C31" s="19"/>
      <c r="D31" s="19"/>
      <c r="E31" s="19"/>
      <c r="F31" s="19"/>
      <c r="G31" s="19"/>
      <c r="H31" s="19"/>
      <c r="I31" s="19"/>
    </row>
    <row r="32" spans="2:9" ht="105" customHeight="1" thickBot="1">
      <c r="B32" s="22" t="s">
        <v>3</v>
      </c>
      <c r="C32" s="22" t="s">
        <v>28</v>
      </c>
      <c r="D32" s="23" t="s">
        <v>23</v>
      </c>
      <c r="E32" s="23" t="s">
        <v>31</v>
      </c>
      <c r="F32" s="22" t="s">
        <v>16</v>
      </c>
      <c r="G32" s="22" t="s">
        <v>29</v>
      </c>
      <c r="H32" s="19"/>
      <c r="I32" s="19"/>
    </row>
    <row r="33" spans="2:9" ht="13.5" customHeight="1" thickBot="1">
      <c r="B33" s="43">
        <v>1</v>
      </c>
      <c r="C33" s="44">
        <v>2</v>
      </c>
      <c r="D33" s="44">
        <v>3</v>
      </c>
      <c r="E33" s="44" t="s">
        <v>42</v>
      </c>
      <c r="F33" s="44">
        <v>5</v>
      </c>
      <c r="G33" s="45" t="s">
        <v>43</v>
      </c>
      <c r="H33" s="19"/>
      <c r="I33" s="19"/>
    </row>
    <row r="34" spans="2:9" ht="38.25" customHeight="1" thickBot="1">
      <c r="B34" s="10" t="s">
        <v>17</v>
      </c>
      <c r="C34" s="28">
        <f>'[18]Sheet1'!$N$12</f>
        <v>1856403</v>
      </c>
      <c r="D34" s="28">
        <f>'[18]Sheet1'!$R$12</f>
        <v>1822536</v>
      </c>
      <c r="E34" s="28">
        <f>D34-C34</f>
        <v>-33867</v>
      </c>
      <c r="F34" s="74">
        <f>'[18]Sheet1'!$U$12-96166</f>
        <v>843090</v>
      </c>
      <c r="G34" s="28">
        <f>C34-F34</f>
        <v>1013313</v>
      </c>
      <c r="H34" s="27"/>
      <c r="I34" s="19"/>
    </row>
    <row r="35" spans="2:9" ht="13.5" thickBot="1">
      <c r="B35" s="6" t="s">
        <v>18</v>
      </c>
      <c r="C35" s="29">
        <f>C34</f>
        <v>1856403</v>
      </c>
      <c r="D35" s="29">
        <f>D34</f>
        <v>1822536</v>
      </c>
      <c r="E35" s="29">
        <f>E34</f>
        <v>-33867</v>
      </c>
      <c r="F35" s="29">
        <f>F34</f>
        <v>843090</v>
      </c>
      <c r="G35" s="29">
        <f>G34</f>
        <v>1013313</v>
      </c>
      <c r="H35" s="19"/>
      <c r="I35" s="19"/>
    </row>
    <row r="36" spans="2:9" ht="12.75">
      <c r="B36" s="13"/>
      <c r="C36" s="19"/>
      <c r="D36" s="19"/>
      <c r="E36" s="19"/>
      <c r="F36" s="19"/>
      <c r="G36" s="19"/>
      <c r="H36" s="19"/>
      <c r="I36" s="19"/>
    </row>
    <row r="37" spans="2:9" ht="13.5" thickBot="1">
      <c r="B37" s="18" t="s">
        <v>30</v>
      </c>
      <c r="C37" s="19"/>
      <c r="D37" s="19"/>
      <c r="E37" s="19"/>
      <c r="F37" s="19"/>
      <c r="G37" s="19"/>
      <c r="H37" s="19"/>
      <c r="I37" s="19"/>
    </row>
    <row r="38" spans="2:9" ht="103.5" customHeight="1" thickBot="1">
      <c r="B38" s="22" t="s">
        <v>3</v>
      </c>
      <c r="C38" s="5" t="s">
        <v>25</v>
      </c>
      <c r="D38" s="8" t="s">
        <v>26</v>
      </c>
      <c r="E38" s="23" t="s">
        <v>31</v>
      </c>
      <c r="F38" s="5" t="s">
        <v>27</v>
      </c>
      <c r="G38" s="22" t="s">
        <v>29</v>
      </c>
      <c r="H38" s="19"/>
      <c r="I38" s="19"/>
    </row>
    <row r="39" spans="2:9" ht="13.5" customHeight="1" thickBot="1">
      <c r="B39" s="43">
        <v>1</v>
      </c>
      <c r="C39" s="44">
        <v>2</v>
      </c>
      <c r="D39" s="44">
        <v>3</v>
      </c>
      <c r="E39" s="44" t="s">
        <v>42</v>
      </c>
      <c r="F39" s="44">
        <v>5</v>
      </c>
      <c r="G39" s="45" t="s">
        <v>43</v>
      </c>
      <c r="H39" s="19"/>
      <c r="I39" s="19"/>
    </row>
    <row r="40" spans="2:9" ht="16.5" customHeight="1">
      <c r="B40" s="54" t="s">
        <v>46</v>
      </c>
      <c r="C40" s="50">
        <f>'[18]Sheet1'!$N$33</f>
        <v>2354139</v>
      </c>
      <c r="D40" s="50">
        <f>'[18]Sheet1'!$R$33</f>
        <v>2314213</v>
      </c>
      <c r="E40" s="50">
        <f>D40-C40</f>
        <v>-39926</v>
      </c>
      <c r="F40" s="50">
        <f>'[18]Sheet1'!$T$33</f>
        <v>3013339</v>
      </c>
      <c r="G40" s="50">
        <f>C40-F40</f>
        <v>-659200</v>
      </c>
      <c r="H40" s="19"/>
      <c r="I40" s="19"/>
    </row>
    <row r="41" spans="2:9" ht="24" customHeight="1" thickBot="1">
      <c r="B41" s="55"/>
      <c r="C41" s="51"/>
      <c r="D41" s="51"/>
      <c r="E41" s="51"/>
      <c r="F41" s="51"/>
      <c r="G41" s="51"/>
      <c r="H41" s="19"/>
      <c r="I41" s="19"/>
    </row>
    <row r="42" spans="2:9" ht="17.25" customHeight="1">
      <c r="B42" s="54" t="s">
        <v>44</v>
      </c>
      <c r="C42" s="50">
        <f>1392258.58+1484386.76+1426846.4+1408038.74+1450064.22+1421357.49+1337915.42-74470.62-109880.8-157674.92-30250.34-94600.25-149534.83-99676.12</f>
        <v>9204779.73</v>
      </c>
      <c r="D42" s="50">
        <f>1294777.2+1364791+1230875.9+1348056.4+1371824.3+1186684.3+1224262.9</f>
        <v>9021272</v>
      </c>
      <c r="E42" s="50">
        <f>D42-C42</f>
        <v>-183507.73000000045</v>
      </c>
      <c r="F42" s="50">
        <f>C42</f>
        <v>9204779.73</v>
      </c>
      <c r="G42" s="50">
        <f>C42-F42</f>
        <v>0</v>
      </c>
      <c r="H42" s="19"/>
      <c r="I42" s="19"/>
    </row>
    <row r="43" spans="2:9" ht="13.5" thickBot="1">
      <c r="B43" s="55"/>
      <c r="C43" s="80">
        <f>1392258.58+1484386.76+1426846.4+1408038.74+1450064.22+1421357.49+1337915.42</f>
        <v>9920867.61</v>
      </c>
      <c r="D43" s="51"/>
      <c r="E43" s="51"/>
      <c r="F43" s="51"/>
      <c r="G43" s="51"/>
      <c r="H43" s="19"/>
      <c r="I43" s="19"/>
    </row>
    <row r="44" spans="2:9" ht="13.5" thickBot="1">
      <c r="B44" s="7" t="s">
        <v>19</v>
      </c>
      <c r="C44" s="29">
        <f>C40+C42</f>
        <v>11558918.73</v>
      </c>
      <c r="D44" s="29">
        <f>D40+D42</f>
        <v>11335485</v>
      </c>
      <c r="E44" s="29">
        <f>E40+E42</f>
        <v>-223433.73000000045</v>
      </c>
      <c r="F44" s="29">
        <f>F40+F42</f>
        <v>12218118.73</v>
      </c>
      <c r="G44" s="29">
        <f>G40+G42</f>
        <v>-659200</v>
      </c>
      <c r="H44" s="19"/>
      <c r="I44" s="19"/>
    </row>
    <row r="45" spans="2:9" ht="12.75">
      <c r="B45" s="11"/>
      <c r="C45" s="19"/>
      <c r="D45" s="19"/>
      <c r="E45" s="19"/>
      <c r="F45" s="19"/>
      <c r="G45" s="19"/>
      <c r="H45" s="19"/>
      <c r="I45" s="19"/>
    </row>
    <row r="46" spans="2:9" ht="12.75">
      <c r="B46" s="11"/>
      <c r="C46" s="19"/>
      <c r="D46" s="19"/>
      <c r="E46" s="19"/>
      <c r="F46" s="19"/>
      <c r="G46" s="19"/>
      <c r="H46" s="19"/>
      <c r="I46" s="19"/>
    </row>
    <row r="47" spans="2:9" ht="12.75">
      <c r="B47" s="20" t="s">
        <v>91</v>
      </c>
      <c r="C47" s="19"/>
      <c r="D47" s="19"/>
      <c r="E47" s="19"/>
      <c r="F47" s="19"/>
      <c r="G47" s="31">
        <f>F49+F50</f>
        <v>-338950.73000000045</v>
      </c>
      <c r="H47" s="19"/>
      <c r="I47" s="19"/>
    </row>
    <row r="48" spans="2:9" ht="12.75">
      <c r="B48" s="30" t="s">
        <v>32</v>
      </c>
      <c r="C48" s="27"/>
      <c r="D48" s="19"/>
      <c r="E48" s="19"/>
      <c r="F48" s="19"/>
      <c r="G48" s="19"/>
      <c r="H48" s="19"/>
      <c r="I48" s="19"/>
    </row>
    <row r="49" spans="2:9" ht="12.75">
      <c r="B49" s="38" t="s">
        <v>34</v>
      </c>
      <c r="C49" s="19"/>
      <c r="D49" s="19"/>
      <c r="E49" s="19"/>
      <c r="F49" s="32">
        <f>(E29+E35)</f>
        <v>-115517</v>
      </c>
      <c r="G49" s="19"/>
      <c r="H49" s="19"/>
      <c r="I49" s="19"/>
    </row>
    <row r="50" spans="2:9" ht="12.75">
      <c r="B50" s="38" t="s">
        <v>33</v>
      </c>
      <c r="C50" s="19"/>
      <c r="D50" s="19"/>
      <c r="E50" s="19"/>
      <c r="F50" s="32">
        <f>(E44)</f>
        <v>-223433.73000000045</v>
      </c>
      <c r="G50" s="19"/>
      <c r="H50" s="19"/>
      <c r="I50" s="19"/>
    </row>
    <row r="51" spans="2:9" ht="12.75">
      <c r="B51" s="38"/>
      <c r="C51" s="19"/>
      <c r="D51" s="19"/>
      <c r="E51" s="19"/>
      <c r="F51" s="32"/>
      <c r="G51" s="19"/>
      <c r="H51" s="19"/>
      <c r="I51" s="19"/>
    </row>
    <row r="52" spans="2:9" s="33" customFormat="1" ht="12.75">
      <c r="B52" s="34" t="s">
        <v>35</v>
      </c>
      <c r="C52" s="35"/>
      <c r="D52" s="35"/>
      <c r="E52" s="36"/>
      <c r="F52" s="37"/>
      <c r="G52" s="31">
        <f>F54+F55</f>
        <v>-659200</v>
      </c>
      <c r="H52" s="35"/>
      <c r="I52" s="35"/>
    </row>
    <row r="53" spans="2:9" s="33" customFormat="1" ht="12.75">
      <c r="B53" s="30" t="s">
        <v>32</v>
      </c>
      <c r="C53" s="35"/>
      <c r="D53" s="35"/>
      <c r="E53" s="36"/>
      <c r="F53" s="37"/>
      <c r="G53" s="41"/>
      <c r="H53" s="35"/>
      <c r="I53" s="35"/>
    </row>
    <row r="54" spans="2:9" s="33" customFormat="1" ht="12.75">
      <c r="B54" s="38" t="s">
        <v>36</v>
      </c>
      <c r="C54" s="35"/>
      <c r="D54" s="35"/>
      <c r="E54" s="36"/>
      <c r="F54" s="32">
        <f>IF(G29+G35&lt;=0,G29+G35,0)</f>
        <v>0</v>
      </c>
      <c r="G54" s="41"/>
      <c r="H54" s="35"/>
      <c r="I54" s="35"/>
    </row>
    <row r="55" spans="2:9" s="33" customFormat="1" ht="12.75">
      <c r="B55" s="38" t="s">
        <v>37</v>
      </c>
      <c r="C55" s="35"/>
      <c r="D55" s="35"/>
      <c r="E55" s="36"/>
      <c r="F55" s="32">
        <f>IF(G44&lt;=0,G44,0)</f>
        <v>-659200</v>
      </c>
      <c r="G55" s="41"/>
      <c r="H55" s="35"/>
      <c r="I55" s="35"/>
    </row>
    <row r="56" spans="2:9" s="33" customFormat="1" ht="12.75">
      <c r="B56" s="38"/>
      <c r="C56" s="35"/>
      <c r="D56" s="35"/>
      <c r="E56" s="36"/>
      <c r="F56" s="37"/>
      <c r="G56" s="41"/>
      <c r="H56" s="35"/>
      <c r="I56" s="35"/>
    </row>
    <row r="57" spans="2:9" s="33" customFormat="1" ht="12.75">
      <c r="B57" s="34" t="s">
        <v>65</v>
      </c>
      <c r="C57" s="35"/>
      <c r="D57" s="35"/>
      <c r="E57" s="36"/>
      <c r="F57" s="37"/>
      <c r="G57" s="31">
        <f>F59+F60</f>
        <v>1071900</v>
      </c>
      <c r="H57" s="35"/>
      <c r="I57" s="35"/>
    </row>
    <row r="58" spans="2:9" ht="12.75">
      <c r="B58" s="30" t="s">
        <v>32</v>
      </c>
      <c r="C58" s="19"/>
      <c r="D58" s="19"/>
      <c r="E58" s="19"/>
      <c r="F58" s="11"/>
      <c r="G58" s="41"/>
      <c r="H58" s="19"/>
      <c r="I58" s="19"/>
    </row>
    <row r="59" spans="2:9" ht="12.75">
      <c r="B59" s="38" t="s">
        <v>36</v>
      </c>
      <c r="C59" s="19"/>
      <c r="D59" s="19"/>
      <c r="E59" s="19"/>
      <c r="F59" s="32">
        <f>IF(G29+G35&gt;=0,G29+G35,0)</f>
        <v>1071900</v>
      </c>
      <c r="G59" s="19"/>
      <c r="H59" s="19"/>
      <c r="I59" s="19"/>
    </row>
    <row r="60" spans="2:9" ht="12.75">
      <c r="B60" s="38" t="s">
        <v>37</v>
      </c>
      <c r="C60" s="19"/>
      <c r="D60" s="19"/>
      <c r="E60" s="19"/>
      <c r="F60" s="32">
        <f>IF(G44&gt;=0,G44,0)</f>
        <v>0</v>
      </c>
      <c r="G60" s="19"/>
      <c r="H60" s="19"/>
      <c r="I60" s="19"/>
    </row>
    <row r="61" spans="2:9" ht="12.75">
      <c r="B61" s="38"/>
      <c r="C61" s="19"/>
      <c r="D61" s="19"/>
      <c r="E61" s="19"/>
      <c r="F61" s="32"/>
      <c r="G61" s="19"/>
      <c r="H61" s="19"/>
      <c r="I61" s="19"/>
    </row>
    <row r="62" spans="2:9" ht="12.75">
      <c r="B62" s="49" t="s">
        <v>57</v>
      </c>
      <c r="C62" s="19"/>
      <c r="D62" s="19"/>
      <c r="E62" s="19"/>
      <c r="F62" s="11"/>
      <c r="G62" s="19"/>
      <c r="H62" s="19"/>
      <c r="I62" s="19"/>
    </row>
    <row r="63" spans="2:9" ht="12.75">
      <c r="B63" s="11" t="s">
        <v>58</v>
      </c>
      <c r="C63" s="19"/>
      <c r="D63" s="19"/>
      <c r="E63" s="48"/>
      <c r="F63" s="37"/>
      <c r="G63" s="31">
        <f>1220.87+400+700+2400*14</f>
        <v>35920.87</v>
      </c>
      <c r="H63" s="19"/>
      <c r="I63" s="19"/>
    </row>
    <row r="64" spans="2:9" ht="12.75">
      <c r="B64" s="18"/>
      <c r="C64" s="19"/>
      <c r="D64" s="19"/>
      <c r="E64" s="19"/>
      <c r="F64" s="19"/>
      <c r="G64" s="19"/>
      <c r="H64" s="19"/>
      <c r="I64" s="19"/>
    </row>
    <row r="65" spans="2:9" ht="12.75">
      <c r="B65" s="38"/>
      <c r="C65" s="19"/>
      <c r="D65" s="19"/>
      <c r="E65" s="19"/>
      <c r="F65" s="32"/>
      <c r="G65" s="19"/>
      <c r="H65" s="19"/>
      <c r="I65" s="19"/>
    </row>
    <row r="66" spans="2:9" ht="15.75">
      <c r="B66" s="39" t="s">
        <v>49</v>
      </c>
      <c r="C66" s="19"/>
      <c r="D66" s="19"/>
      <c r="E66" s="19"/>
      <c r="F66" s="40">
        <f>G52+G57+G63</f>
        <v>448620.87</v>
      </c>
      <c r="G66" s="40" t="s">
        <v>40</v>
      </c>
      <c r="H66" s="19"/>
      <c r="I66" s="19"/>
    </row>
    <row r="67" spans="2:9" ht="12.75">
      <c r="B67" s="24" t="s">
        <v>38</v>
      </c>
      <c r="C67" s="19"/>
      <c r="D67" s="19"/>
      <c r="E67" s="19"/>
      <c r="F67" s="32"/>
      <c r="G67" s="19"/>
      <c r="H67" s="19"/>
      <c r="I67" s="19"/>
    </row>
    <row r="68" spans="2:9" ht="12.75">
      <c r="B68" s="24" t="s">
        <v>39</v>
      </c>
      <c r="C68" s="19"/>
      <c r="D68" s="19"/>
      <c r="E68" s="19"/>
      <c r="F68" s="32"/>
      <c r="G68" s="19"/>
      <c r="H68" s="19"/>
      <c r="I68" s="19"/>
    </row>
    <row r="69" spans="2:9" ht="12.75">
      <c r="B69" s="38"/>
      <c r="C69" s="19"/>
      <c r="D69" s="19"/>
      <c r="E69" s="19"/>
      <c r="F69" s="32"/>
      <c r="G69" s="19"/>
      <c r="H69" s="19"/>
      <c r="I69" s="19"/>
    </row>
    <row r="70" spans="2:9" ht="15.75">
      <c r="B70" s="39" t="s">
        <v>50</v>
      </c>
      <c r="C70" s="19"/>
      <c r="D70" s="19"/>
      <c r="E70" s="19"/>
      <c r="F70" s="40">
        <f>G47</f>
        <v>-338950.73000000045</v>
      </c>
      <c r="G70" s="40" t="s">
        <v>40</v>
      </c>
      <c r="H70" s="19"/>
      <c r="I70" s="19"/>
    </row>
    <row r="71" spans="2:9" ht="12.75">
      <c r="B71" s="24" t="s">
        <v>52</v>
      </c>
      <c r="C71" s="19"/>
      <c r="D71" s="19"/>
      <c r="E71" s="19"/>
      <c r="F71" s="32"/>
      <c r="G71" s="19"/>
      <c r="H71" s="19"/>
      <c r="I71" s="19"/>
    </row>
    <row r="72" spans="2:9" ht="12.75">
      <c r="B72" s="24" t="s">
        <v>53</v>
      </c>
      <c r="C72" s="19"/>
      <c r="D72" s="19"/>
      <c r="E72" s="19"/>
      <c r="F72" s="32"/>
      <c r="G72" s="19"/>
      <c r="H72" s="19"/>
      <c r="I72" s="19"/>
    </row>
    <row r="73" spans="2:9" ht="12.75">
      <c r="B73" s="13"/>
      <c r="C73" s="19"/>
      <c r="D73" s="19"/>
      <c r="E73" s="19"/>
      <c r="F73" s="19"/>
      <c r="G73" s="19"/>
      <c r="H73" s="19"/>
      <c r="I73" s="19"/>
    </row>
    <row r="74" spans="2:9" ht="15.75">
      <c r="B74" s="39" t="s">
        <v>56</v>
      </c>
      <c r="C74" s="19"/>
      <c r="D74" s="19"/>
      <c r="E74" s="19"/>
      <c r="F74" s="40">
        <f>D5+F66</f>
        <v>-1351754.29</v>
      </c>
      <c r="G74" s="40" t="s">
        <v>40</v>
      </c>
      <c r="H74" s="19"/>
      <c r="I74" s="19"/>
    </row>
    <row r="75" spans="2:9" ht="12.75">
      <c r="B75" s="24" t="s">
        <v>38</v>
      </c>
      <c r="C75" s="19"/>
      <c r="D75" s="19"/>
      <c r="E75" s="19"/>
      <c r="F75" s="32"/>
      <c r="G75" s="19"/>
      <c r="H75" s="19"/>
      <c r="I75" s="19"/>
    </row>
    <row r="76" spans="2:9" ht="12.75">
      <c r="B76" s="24" t="s">
        <v>39</v>
      </c>
      <c r="C76" s="19"/>
      <c r="D76" s="19"/>
      <c r="E76" s="19"/>
      <c r="F76" s="32"/>
      <c r="G76" s="19"/>
      <c r="H76" s="19"/>
      <c r="I76" s="19"/>
    </row>
    <row r="77" spans="2:9" ht="12.75">
      <c r="B77" s="38"/>
      <c r="C77" s="19"/>
      <c r="D77" s="19"/>
      <c r="E77" s="19"/>
      <c r="F77" s="32"/>
      <c r="G77" s="19"/>
      <c r="H77" s="19"/>
      <c r="I77" s="19"/>
    </row>
    <row r="78" spans="2:9" ht="15.75">
      <c r="B78" s="39" t="s">
        <v>51</v>
      </c>
      <c r="C78" s="19"/>
      <c r="D78" s="19"/>
      <c r="E78" s="19"/>
      <c r="F78" s="40">
        <f>-115514.46-184735.49-53463.85-60182.72-215751.16-143191.51-77697.41-191425.88-215901.32-321152.91-131520.15-152561.7-569962.15-304391.34</f>
        <v>-2737452.05</v>
      </c>
      <c r="G78" s="40" t="s">
        <v>40</v>
      </c>
      <c r="H78" s="19"/>
      <c r="I78" s="19"/>
    </row>
    <row r="79" spans="2:9" ht="12.75">
      <c r="B79" s="24" t="s">
        <v>52</v>
      </c>
      <c r="C79" s="19"/>
      <c r="D79" s="19"/>
      <c r="E79" s="19"/>
      <c r="F79" s="32"/>
      <c r="G79" s="19"/>
      <c r="H79" s="19"/>
      <c r="I79" s="19"/>
    </row>
    <row r="80" spans="2:9" ht="12.75">
      <c r="B80" s="24" t="s">
        <v>53</v>
      </c>
      <c r="C80" s="19"/>
      <c r="D80" s="19"/>
      <c r="E80" s="19"/>
      <c r="F80" s="32"/>
      <c r="G80" s="19"/>
      <c r="H80" s="19"/>
      <c r="I80" s="19"/>
    </row>
    <row r="81" spans="2:9" ht="12.75">
      <c r="B81" s="11"/>
      <c r="C81" s="19"/>
      <c r="D81" s="19"/>
      <c r="E81" s="19"/>
      <c r="F81" s="19"/>
      <c r="G81" s="19"/>
      <c r="H81" s="19"/>
      <c r="I81" s="19"/>
    </row>
    <row r="82" spans="2:9" ht="12.75">
      <c r="B82" s="11"/>
      <c r="C82" s="19"/>
      <c r="D82" s="19"/>
      <c r="E82" s="19"/>
      <c r="F82" s="19"/>
      <c r="G82" s="19"/>
      <c r="H82" s="19"/>
      <c r="I82" s="19"/>
    </row>
    <row r="83" spans="1:3" s="11" customFormat="1" ht="12.75">
      <c r="A83" s="37"/>
      <c r="C83" s="21" t="s">
        <v>20</v>
      </c>
    </row>
    <row r="84" spans="2:9" ht="12.75">
      <c r="B84" s="11"/>
      <c r="C84" s="19"/>
      <c r="D84" s="19"/>
      <c r="E84" s="19"/>
      <c r="F84" s="19"/>
      <c r="G84" s="19"/>
      <c r="H84" s="19"/>
      <c r="I84" s="19"/>
    </row>
    <row r="85" spans="2:6" ht="15">
      <c r="B85" s="17"/>
      <c r="C85" s="16"/>
      <c r="D85" s="16"/>
      <c r="E85" s="16"/>
      <c r="F85" s="16"/>
    </row>
    <row r="86" spans="2:6" ht="14.25">
      <c r="B86" s="16"/>
      <c r="C86" s="16"/>
      <c r="D86" s="16"/>
      <c r="E86" s="16"/>
      <c r="F86" s="16"/>
    </row>
    <row r="87" spans="2:6" ht="14.25">
      <c r="B87" s="16"/>
      <c r="C87" s="16"/>
      <c r="D87" s="16"/>
      <c r="E87" s="16"/>
      <c r="F87" s="16"/>
    </row>
    <row r="88" spans="2:6" ht="14.25">
      <c r="B88" s="16"/>
      <c r="C88" s="16"/>
      <c r="D88" s="16"/>
      <c r="E88" s="16"/>
      <c r="F88" s="16"/>
    </row>
    <row r="89" spans="2:6" ht="14.25">
      <c r="B89" s="16"/>
      <c r="C89" s="16"/>
      <c r="D89" s="16"/>
      <c r="E89" s="16"/>
      <c r="F89" s="16"/>
    </row>
    <row r="90" spans="2:6" ht="14.25">
      <c r="B90" s="16"/>
      <c r="C90" s="16"/>
      <c r="D90" s="16"/>
      <c r="E90" s="16"/>
      <c r="F90" s="16"/>
    </row>
    <row r="91" spans="2:6" ht="14.25">
      <c r="B91" s="16"/>
      <c r="C91" s="16"/>
      <c r="D91" s="16"/>
      <c r="E91" s="16"/>
      <c r="F91" s="16"/>
    </row>
    <row r="92" spans="2:6" ht="14.25">
      <c r="B92" s="16"/>
      <c r="C92" s="16"/>
      <c r="D92" s="16"/>
      <c r="E92" s="16"/>
      <c r="F92" s="16"/>
    </row>
  </sheetData>
  <sheetProtection/>
  <mergeCells count="19">
    <mergeCell ref="G42:G43"/>
    <mergeCell ref="F40:F41"/>
    <mergeCell ref="G14:G16"/>
    <mergeCell ref="C42:C43"/>
    <mergeCell ref="D42:D43"/>
    <mergeCell ref="F42:F43"/>
    <mergeCell ref="C40:C41"/>
    <mergeCell ref="D40:D41"/>
    <mergeCell ref="E42:E43"/>
    <mergeCell ref="B42:B43"/>
    <mergeCell ref="B13:G13"/>
    <mergeCell ref="B18:G18"/>
    <mergeCell ref="E40:E41"/>
    <mergeCell ref="C14:C16"/>
    <mergeCell ref="D14:D16"/>
    <mergeCell ref="E14:E16"/>
    <mergeCell ref="F14:F16"/>
    <mergeCell ref="B40:B41"/>
    <mergeCell ref="G40:G41"/>
  </mergeCells>
  <printOptions/>
  <pageMargins left="0.16" right="0.22" top="0.19" bottom="0.18" header="0.17" footer="0.17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37">
      <selection activeCell="C46" sqref="C46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15"/>
      <c r="D1" s="15"/>
      <c r="E1" s="15"/>
      <c r="F1" s="15"/>
    </row>
    <row r="2" spans="1:6" ht="18.75">
      <c r="A2" s="42"/>
      <c r="B2" s="15"/>
      <c r="D2" s="2" t="s">
        <v>93</v>
      </c>
      <c r="E2" s="15"/>
      <c r="F2" s="15"/>
    </row>
    <row r="3" spans="2:6" ht="18.75">
      <c r="B3" s="15"/>
      <c r="D3" s="3" t="s">
        <v>45</v>
      </c>
      <c r="E3" s="15"/>
      <c r="F3" s="15"/>
    </row>
    <row r="4" spans="2:6" ht="9.75" customHeight="1">
      <c r="B4" s="12"/>
      <c r="C4" s="14"/>
      <c r="D4" s="14"/>
      <c r="E4" s="14"/>
      <c r="F4" s="14"/>
    </row>
    <row r="5" spans="2:6" ht="12" customHeight="1">
      <c r="B5" s="12"/>
      <c r="C5" s="14"/>
      <c r="D5" s="14"/>
      <c r="E5" s="14"/>
      <c r="F5" s="14"/>
    </row>
    <row r="6" spans="2:6" ht="15.75">
      <c r="B6" s="46" t="s">
        <v>54</v>
      </c>
      <c r="C6" s="14"/>
      <c r="D6" s="47">
        <v>177752.54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'[19]Sheet1'!$N$15</f>
        <v>211303</v>
      </c>
      <c r="D15" s="50">
        <f>'[19]Sheet1'!$R$15</f>
        <v>199730</v>
      </c>
      <c r="E15" s="50">
        <f>D15-C15</f>
        <v>-11573</v>
      </c>
      <c r="F15" s="50">
        <f>'[19]Sheet1'!$T$15</f>
        <v>211303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211303</v>
      </c>
      <c r="D18" s="26">
        <f>D15</f>
        <v>199730</v>
      </c>
      <c r="E18" s="26">
        <f>E15</f>
        <v>-11573</v>
      </c>
      <c r="F18" s="26">
        <f>F15</f>
        <v>211303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f>'[19]Sheet1'!$N$17</f>
        <v>11821</v>
      </c>
      <c r="D20" s="25">
        <f>'[19]Sheet1'!$R$17</f>
        <v>11174</v>
      </c>
      <c r="E20" s="25">
        <f>D20-C20</f>
        <v>-647</v>
      </c>
      <c r="F20" s="25">
        <f>C20</f>
        <v>11821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'[19]Sheet1'!$N$18</f>
        <v>94632</v>
      </c>
      <c r="D21" s="25">
        <f>'[19]Sheet1'!$R$18</f>
        <v>89449</v>
      </c>
      <c r="E21" s="25">
        <f>D21-C21</f>
        <v>-5183</v>
      </c>
      <c r="F21" s="25">
        <f>'[19]Sheet1'!$T$18</f>
        <v>94632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'[19]Sheet1'!$N$19</f>
        <v>8730</v>
      </c>
      <c r="D22" s="25">
        <f>'[19]Sheet1'!$R$19</f>
        <v>8252</v>
      </c>
      <c r="E22" s="25">
        <f>D22-C22</f>
        <v>-478</v>
      </c>
      <c r="F22" s="25">
        <f>'[19]Sheet1'!$T$19</f>
        <v>8730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'[19]Sheet1'!$N$20</f>
        <v>19527</v>
      </c>
      <c r="D23" s="25">
        <f>'[19]Sheet1'!$R$20</f>
        <v>18458</v>
      </c>
      <c r="E23" s="25">
        <f>D23-C23</f>
        <v>-1069</v>
      </c>
      <c r="F23" s="25">
        <f>'[19]Sheet1'!$T$20</f>
        <v>19527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'[19]Sheet1'!$K$22</f>
        <v>30778</v>
      </c>
      <c r="D24" s="25">
        <f>'[19]Sheet1'!$R$22</f>
        <v>29092</v>
      </c>
      <c r="E24" s="25">
        <f>D24-C24</f>
        <v>-1686</v>
      </c>
      <c r="F24" s="25">
        <f>'[19]Sheet1'!$T$22</f>
        <v>25614</v>
      </c>
      <c r="G24" s="25">
        <f>C24-F24</f>
        <v>5164</v>
      </c>
      <c r="H24" s="62"/>
      <c r="I24" s="62"/>
    </row>
    <row r="25" spans="2:9" ht="17.25" customHeight="1" thickBot="1">
      <c r="B25" s="10" t="s">
        <v>60</v>
      </c>
      <c r="C25" s="82">
        <v>0</v>
      </c>
      <c r="D25" s="82">
        <v>0</v>
      </c>
      <c r="E25" s="82">
        <f>D25-C25</f>
        <v>0</v>
      </c>
      <c r="F25" s="82">
        <v>0</v>
      </c>
      <c r="G25" s="82">
        <f>C25-F25</f>
        <v>0</v>
      </c>
      <c r="H25" s="62"/>
      <c r="I25" s="62"/>
    </row>
    <row r="26" spans="2:9" ht="17.25" customHeight="1" thickBot="1">
      <c r="B26" s="10" t="s">
        <v>61</v>
      </c>
      <c r="C26" s="82">
        <v>0</v>
      </c>
      <c r="D26" s="82">
        <v>0</v>
      </c>
      <c r="E26" s="82">
        <f>D26-C26</f>
        <v>0</v>
      </c>
      <c r="F26" s="82">
        <v>0</v>
      </c>
      <c r="G26" s="82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'[19]Sheet1'!$N$26</f>
        <v>174290</v>
      </c>
      <c r="D27" s="25">
        <f>'[19]Sheet1'!$R$26</f>
        <v>164744</v>
      </c>
      <c r="E27" s="25">
        <f>D27-C27</f>
        <v>-9546</v>
      </c>
      <c r="F27" s="25">
        <f>'[19]Sheet1'!$T$26</f>
        <v>174290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'[19]Sheet1'!$N$41+'[19]Sheet1'!$N$42</f>
        <v>29024</v>
      </c>
      <c r="D28" s="25">
        <f>'[19]Sheet1'!$R$41+'[19]Sheet1'!$R$42</f>
        <v>27435</v>
      </c>
      <c r="E28" s="25">
        <f>D28-C28</f>
        <v>-1589</v>
      </c>
      <c r="F28" s="25">
        <f>'[19]Sheet1'!$T$41+'[19]Sheet1'!$T$42</f>
        <v>29024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368802</v>
      </c>
      <c r="D29" s="26">
        <f>SUM(D20:D28)</f>
        <v>348604</v>
      </c>
      <c r="E29" s="26">
        <f>SUM(E20:E28)</f>
        <v>-20198</v>
      </c>
      <c r="F29" s="26">
        <f>SUM(F20:F28)</f>
        <v>363638</v>
      </c>
      <c r="G29" s="26">
        <f>SUM(G20:G28)</f>
        <v>5164</v>
      </c>
      <c r="H29" s="62"/>
      <c r="I29" s="62"/>
    </row>
    <row r="30" spans="2:9" ht="13.5" thickBot="1">
      <c r="B30" s="7" t="s">
        <v>15</v>
      </c>
      <c r="C30" s="26">
        <f>C18+C29</f>
        <v>580105</v>
      </c>
      <c r="D30" s="26">
        <f>D18+D29</f>
        <v>548334</v>
      </c>
      <c r="E30" s="26">
        <f>E18+E29</f>
        <v>-31771</v>
      </c>
      <c r="F30" s="26">
        <f>F18+F29</f>
        <v>574941</v>
      </c>
      <c r="G30" s="26">
        <f>G18+G29</f>
        <v>5164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2.75">
      <c r="B32" s="11"/>
      <c r="C32" s="62"/>
      <c r="D32" s="62"/>
      <c r="E32" s="62"/>
      <c r="F32" s="62"/>
      <c r="G32" s="62"/>
      <c r="H32" s="62"/>
      <c r="I32" s="62"/>
    </row>
    <row r="33" spans="2:9" ht="13.5" thickBot="1">
      <c r="B33" s="18" t="s">
        <v>47</v>
      </c>
      <c r="C33" s="62"/>
      <c r="D33" s="62"/>
      <c r="E33" s="62"/>
      <c r="F33" s="62"/>
      <c r="G33" s="62"/>
      <c r="H33" s="62"/>
      <c r="I33" s="62"/>
    </row>
    <row r="34" spans="2:9" ht="105" customHeight="1" thickBot="1">
      <c r="B34" s="22" t="s">
        <v>3</v>
      </c>
      <c r="C34" s="22" t="s">
        <v>28</v>
      </c>
      <c r="D34" s="23" t="s">
        <v>23</v>
      </c>
      <c r="E34" s="23" t="s">
        <v>31</v>
      </c>
      <c r="F34" s="22" t="s">
        <v>16</v>
      </c>
      <c r="G34" s="22" t="s">
        <v>29</v>
      </c>
      <c r="H34" s="62"/>
      <c r="I34" s="62"/>
    </row>
    <row r="35" spans="2:9" ht="13.5" customHeight="1" thickBot="1">
      <c r="B35" s="43">
        <v>1</v>
      </c>
      <c r="C35" s="44">
        <v>2</v>
      </c>
      <c r="D35" s="44">
        <v>3</v>
      </c>
      <c r="E35" s="44" t="s">
        <v>42</v>
      </c>
      <c r="F35" s="44">
        <v>5</v>
      </c>
      <c r="G35" s="45" t="s">
        <v>43</v>
      </c>
      <c r="H35" s="62"/>
      <c r="I35" s="62"/>
    </row>
    <row r="36" spans="2:9" ht="38.25" customHeight="1" thickBot="1">
      <c r="B36" s="10" t="s">
        <v>17</v>
      </c>
      <c r="C36" s="28">
        <f>'[19]Sheet1'!$N$12</f>
        <v>420418</v>
      </c>
      <c r="D36" s="28">
        <f>'[19]Sheet1'!$R$12</f>
        <v>397392</v>
      </c>
      <c r="E36" s="28">
        <f>D36-C36</f>
        <v>-23026</v>
      </c>
      <c r="F36" s="28">
        <f>'[19]Sheet1'!$U$12</f>
        <v>159771</v>
      </c>
      <c r="G36" s="28">
        <f>C36-F36</f>
        <v>260647</v>
      </c>
      <c r="H36" s="65"/>
      <c r="I36" s="62"/>
    </row>
    <row r="37" spans="2:9" ht="13.5" thickBot="1">
      <c r="B37" s="6" t="s">
        <v>18</v>
      </c>
      <c r="C37" s="29">
        <f>C36</f>
        <v>420418</v>
      </c>
      <c r="D37" s="29">
        <f>D36</f>
        <v>397392</v>
      </c>
      <c r="E37" s="29">
        <f>E36</f>
        <v>-23026</v>
      </c>
      <c r="F37" s="29">
        <f>F36</f>
        <v>159771</v>
      </c>
      <c r="G37" s="29">
        <f>G36</f>
        <v>260647</v>
      </c>
      <c r="H37" s="62"/>
      <c r="I37" s="62"/>
    </row>
    <row r="38" spans="2:9" ht="12.75">
      <c r="B38" s="13"/>
      <c r="C38" s="62"/>
      <c r="D38" s="62"/>
      <c r="E38" s="62"/>
      <c r="F38" s="62"/>
      <c r="G38" s="62"/>
      <c r="H38" s="62"/>
      <c r="I38" s="62"/>
    </row>
    <row r="39" spans="2:9" ht="13.5" thickBot="1">
      <c r="B39" s="18" t="s">
        <v>30</v>
      </c>
      <c r="C39" s="62"/>
      <c r="D39" s="62"/>
      <c r="E39" s="62"/>
      <c r="F39" s="62"/>
      <c r="G39" s="62"/>
      <c r="H39" s="62"/>
      <c r="I39" s="62"/>
    </row>
    <row r="40" spans="2:9" ht="103.5" customHeight="1" thickBot="1">
      <c r="B40" s="22" t="s">
        <v>3</v>
      </c>
      <c r="C40" s="5" t="s">
        <v>25</v>
      </c>
      <c r="D40" s="8" t="s">
        <v>26</v>
      </c>
      <c r="E40" s="23" t="s">
        <v>31</v>
      </c>
      <c r="F40" s="5" t="s">
        <v>27</v>
      </c>
      <c r="G40" s="22" t="s">
        <v>29</v>
      </c>
      <c r="H40" s="62"/>
      <c r="I40" s="62"/>
    </row>
    <row r="41" spans="2:9" ht="13.5" customHeight="1" thickBot="1">
      <c r="B41" s="43">
        <v>1</v>
      </c>
      <c r="C41" s="44">
        <v>2</v>
      </c>
      <c r="D41" s="44">
        <v>3</v>
      </c>
      <c r="E41" s="44" t="s">
        <v>42</v>
      </c>
      <c r="F41" s="44">
        <v>5</v>
      </c>
      <c r="G41" s="45" t="s">
        <v>43</v>
      </c>
      <c r="H41" s="62"/>
      <c r="I41" s="62"/>
    </row>
    <row r="42" spans="2:9" ht="16.5" customHeight="1">
      <c r="B42" s="54" t="s">
        <v>46</v>
      </c>
      <c r="C42" s="50">
        <f>'[19]Sheet1'!$N$33</f>
        <v>432688</v>
      </c>
      <c r="D42" s="50">
        <f>'[19]Sheet1'!$R$33</f>
        <v>408990</v>
      </c>
      <c r="E42" s="50">
        <f>D42-C42</f>
        <v>-23698</v>
      </c>
      <c r="F42" s="50">
        <f>'[19]Sheet1'!$T$33</f>
        <v>589590</v>
      </c>
      <c r="G42" s="50">
        <f>C42-F42</f>
        <v>-156902</v>
      </c>
      <c r="H42" s="62"/>
      <c r="I42" s="62"/>
    </row>
    <row r="43" spans="2:9" ht="24" customHeight="1" thickBot="1">
      <c r="B43" s="55"/>
      <c r="C43" s="51"/>
      <c r="D43" s="51"/>
      <c r="E43" s="51"/>
      <c r="F43" s="51"/>
      <c r="G43" s="51"/>
      <c r="H43" s="62"/>
      <c r="I43" s="62"/>
    </row>
    <row r="44" spans="2:9" ht="17.25" customHeight="1">
      <c r="B44" s="54" t="s">
        <v>44</v>
      </c>
      <c r="C44" s="50">
        <f>2015848.55-165268.15</f>
        <v>1850580.4000000001</v>
      </c>
      <c r="D44" s="50">
        <v>1777701.1</v>
      </c>
      <c r="E44" s="50">
        <f>D44-C44</f>
        <v>-72879.30000000005</v>
      </c>
      <c r="F44" s="50">
        <f>C44</f>
        <v>1850580.4000000001</v>
      </c>
      <c r="G44" s="50">
        <f>C44-F44</f>
        <v>0</v>
      </c>
      <c r="H44" s="62"/>
      <c r="I44" s="62"/>
    </row>
    <row r="45" spans="2:9" ht="13.5" thickBot="1">
      <c r="B45" s="55"/>
      <c r="C45" s="51"/>
      <c r="D45" s="51"/>
      <c r="E45" s="51"/>
      <c r="F45" s="51"/>
      <c r="G45" s="51"/>
      <c r="H45" s="62"/>
      <c r="I45" s="62"/>
    </row>
    <row r="46" spans="2:9" ht="13.5" thickBot="1">
      <c r="B46" s="7" t="s">
        <v>19</v>
      </c>
      <c r="C46" s="29">
        <f>C42+C44</f>
        <v>2283268.4000000004</v>
      </c>
      <c r="D46" s="29">
        <f>D42+D44</f>
        <v>2186691.1</v>
      </c>
      <c r="E46" s="29">
        <f>E42+E44</f>
        <v>-96577.30000000005</v>
      </c>
      <c r="F46" s="29">
        <f>F42+F44</f>
        <v>2440170.4000000004</v>
      </c>
      <c r="G46" s="29">
        <f>G42+G44</f>
        <v>-156902</v>
      </c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11"/>
      <c r="C48" s="62"/>
      <c r="D48" s="62"/>
      <c r="E48" s="62"/>
      <c r="F48" s="62"/>
      <c r="G48" s="62"/>
      <c r="H48" s="62"/>
      <c r="I48" s="62"/>
    </row>
    <row r="49" spans="2:9" ht="12.75">
      <c r="B49" s="20" t="s">
        <v>62</v>
      </c>
      <c r="C49" s="62"/>
      <c r="D49" s="62"/>
      <c r="E49" s="62"/>
      <c r="F49" s="62"/>
      <c r="G49" s="31">
        <f>F51+F52</f>
        <v>-151374.30000000005</v>
      </c>
      <c r="H49" s="62"/>
      <c r="I49" s="62"/>
    </row>
    <row r="50" spans="2:9" ht="12.75">
      <c r="B50" s="30" t="s">
        <v>32</v>
      </c>
      <c r="C50" s="65"/>
      <c r="D50" s="62"/>
      <c r="E50" s="62"/>
      <c r="F50" s="62"/>
      <c r="G50" s="62"/>
      <c r="H50" s="62"/>
      <c r="I50" s="62"/>
    </row>
    <row r="51" spans="2:9" ht="12.75">
      <c r="B51" s="38" t="s">
        <v>63</v>
      </c>
      <c r="C51" s="62"/>
      <c r="D51" s="62"/>
      <c r="E51" s="62"/>
      <c r="F51" s="32">
        <f>(E30+E37)</f>
        <v>-54797</v>
      </c>
      <c r="G51" s="62"/>
      <c r="H51" s="62"/>
      <c r="I51" s="62"/>
    </row>
    <row r="52" spans="2:9" ht="12.75">
      <c r="B52" s="38" t="s">
        <v>64</v>
      </c>
      <c r="C52" s="62"/>
      <c r="D52" s="62"/>
      <c r="E52" s="62"/>
      <c r="F52" s="32">
        <f>(E46)</f>
        <v>-96577.30000000005</v>
      </c>
      <c r="G52" s="62"/>
      <c r="H52" s="62"/>
      <c r="I52" s="62"/>
    </row>
    <row r="53" spans="2:9" ht="12.75">
      <c r="B53" s="38"/>
      <c r="C53" s="62"/>
      <c r="D53" s="62"/>
      <c r="E53" s="62"/>
      <c r="F53" s="32"/>
      <c r="G53" s="62"/>
      <c r="H53" s="62"/>
      <c r="I53" s="62"/>
    </row>
    <row r="54" spans="2:9" s="33" customFormat="1" ht="12.75">
      <c r="B54" s="34" t="s">
        <v>87</v>
      </c>
      <c r="C54" s="66"/>
      <c r="D54" s="66"/>
      <c r="E54" s="67"/>
      <c r="F54" s="37"/>
      <c r="G54" s="31">
        <f>F56+F57</f>
        <v>-156902</v>
      </c>
      <c r="H54" s="66"/>
      <c r="I54" s="66"/>
    </row>
    <row r="55" spans="2:9" s="33" customFormat="1" ht="12.75">
      <c r="B55" s="30" t="s">
        <v>32</v>
      </c>
      <c r="C55" s="66"/>
      <c r="D55" s="66"/>
      <c r="E55" s="67"/>
      <c r="F55" s="37"/>
      <c r="G55" s="41"/>
      <c r="H55" s="66"/>
      <c r="I55" s="66"/>
    </row>
    <row r="56" spans="2:9" s="33" customFormat="1" ht="12.75">
      <c r="B56" s="38" t="s">
        <v>36</v>
      </c>
      <c r="C56" s="66"/>
      <c r="D56" s="66"/>
      <c r="E56" s="67"/>
      <c r="F56" s="32">
        <f>IF((G30+G37)&lt;=0,G30+G37,0)</f>
        <v>0</v>
      </c>
      <c r="G56" s="41"/>
      <c r="H56" s="66"/>
      <c r="I56" s="66"/>
    </row>
    <row r="57" spans="2:9" s="33" customFormat="1" ht="12.75">
      <c r="B57" s="38" t="s">
        <v>37</v>
      </c>
      <c r="C57" s="66"/>
      <c r="D57" s="66"/>
      <c r="E57" s="67"/>
      <c r="F57" s="32">
        <f>IF(G46&lt;=0,G46,0)</f>
        <v>-156902</v>
      </c>
      <c r="G57" s="41"/>
      <c r="H57" s="66"/>
      <c r="I57" s="66"/>
    </row>
    <row r="58" spans="2:9" s="33" customFormat="1" ht="12.75">
      <c r="B58" s="38"/>
      <c r="C58" s="66"/>
      <c r="D58" s="66"/>
      <c r="E58" s="67"/>
      <c r="F58" s="37"/>
      <c r="G58" s="41"/>
      <c r="H58" s="66"/>
      <c r="I58" s="66"/>
    </row>
    <row r="59" spans="2:9" s="33" customFormat="1" ht="12.75">
      <c r="B59" s="34" t="s">
        <v>65</v>
      </c>
      <c r="C59" s="66"/>
      <c r="D59" s="66"/>
      <c r="E59" s="67"/>
      <c r="F59" s="37"/>
      <c r="G59" s="31">
        <f>F61+F62</f>
        <v>265811</v>
      </c>
      <c r="H59" s="66"/>
      <c r="I59" s="66"/>
    </row>
    <row r="60" spans="2:9" ht="12.75">
      <c r="B60" s="30" t="s">
        <v>32</v>
      </c>
      <c r="C60" s="62"/>
      <c r="D60" s="62"/>
      <c r="E60" s="62"/>
      <c r="F60" s="11"/>
      <c r="G60" s="41"/>
      <c r="H60" s="62"/>
      <c r="I60" s="62"/>
    </row>
    <row r="61" spans="2:9" ht="12.75">
      <c r="B61" s="38" t="s">
        <v>36</v>
      </c>
      <c r="C61" s="62"/>
      <c r="D61" s="62"/>
      <c r="E61" s="62"/>
      <c r="F61" s="32">
        <f>IF((G30+G37)&gt;0,G30+G37,0)</f>
        <v>265811</v>
      </c>
      <c r="G61" s="62"/>
      <c r="H61" s="62"/>
      <c r="I61" s="62"/>
    </row>
    <row r="62" spans="2:9" ht="12.75">
      <c r="B62" s="38" t="s">
        <v>37</v>
      </c>
      <c r="C62" s="62"/>
      <c r="D62" s="62"/>
      <c r="E62" s="62"/>
      <c r="F62" s="32">
        <f>IF(G46&gt;0,G46,0)</f>
        <v>0</v>
      </c>
      <c r="G62" s="62"/>
      <c r="H62" s="62"/>
      <c r="I62" s="62"/>
    </row>
    <row r="63" spans="2:9" ht="12.75">
      <c r="B63" s="38"/>
      <c r="C63" s="62"/>
      <c r="D63" s="62"/>
      <c r="E63" s="62"/>
      <c r="F63" s="32"/>
      <c r="G63" s="62"/>
      <c r="H63" s="62"/>
      <c r="I63" s="62"/>
    </row>
    <row r="64" spans="2:9" ht="12.75">
      <c r="B64" s="49" t="s">
        <v>57</v>
      </c>
      <c r="C64" s="19"/>
      <c r="D64" s="19"/>
      <c r="E64" s="19"/>
      <c r="F64" s="11"/>
      <c r="G64" s="19"/>
      <c r="H64" s="19"/>
      <c r="I64" s="19"/>
    </row>
    <row r="65" spans="2:9" ht="12.75">
      <c r="B65" s="11" t="s">
        <v>58</v>
      </c>
      <c r="C65" s="19"/>
      <c r="D65" s="19"/>
      <c r="E65" s="48"/>
      <c r="F65" s="37"/>
      <c r="G65" s="31">
        <f>1220.87+400+700</f>
        <v>2320.87</v>
      </c>
      <c r="H65" s="19"/>
      <c r="I65" s="19"/>
    </row>
    <row r="66" spans="2:9" ht="12.75">
      <c r="B66" s="18"/>
      <c r="C66" s="19"/>
      <c r="D66" s="19"/>
      <c r="E66" s="19"/>
      <c r="F66" s="19"/>
      <c r="G66" s="19"/>
      <c r="H66" s="19"/>
      <c r="I66" s="19"/>
    </row>
    <row r="67" spans="2:9" ht="12.75">
      <c r="B67" s="38"/>
      <c r="C67" s="19"/>
      <c r="D67" s="19"/>
      <c r="E67" s="19"/>
      <c r="F67" s="32"/>
      <c r="G67" s="19"/>
      <c r="H67" s="19"/>
      <c r="I67" s="19"/>
    </row>
    <row r="68" spans="2:9" ht="15.75">
      <c r="B68" s="39" t="s">
        <v>49</v>
      </c>
      <c r="C68" s="19"/>
      <c r="D68" s="19"/>
      <c r="E68" s="19"/>
      <c r="F68" s="40">
        <f>G54+G59+G65</f>
        <v>111229.87</v>
      </c>
      <c r="G68" s="40" t="s">
        <v>40</v>
      </c>
      <c r="H68" s="19"/>
      <c r="I68" s="19"/>
    </row>
    <row r="69" spans="2:9" ht="12.75">
      <c r="B69" s="24" t="s">
        <v>38</v>
      </c>
      <c r="C69" s="19"/>
      <c r="D69" s="19"/>
      <c r="E69" s="19"/>
      <c r="F69" s="32"/>
      <c r="G69" s="19"/>
      <c r="H69" s="19"/>
      <c r="I69" s="19"/>
    </row>
    <row r="70" spans="2:9" ht="12.75">
      <c r="B70" s="24" t="s">
        <v>39</v>
      </c>
      <c r="C70" s="19"/>
      <c r="D70" s="19"/>
      <c r="E70" s="19"/>
      <c r="F70" s="32"/>
      <c r="G70" s="19"/>
      <c r="H70" s="19"/>
      <c r="I70" s="19"/>
    </row>
    <row r="71" spans="2:9" ht="12.75">
      <c r="B71" s="38"/>
      <c r="C71" s="19"/>
      <c r="D71" s="19"/>
      <c r="E71" s="19"/>
      <c r="F71" s="32"/>
      <c r="G71" s="19"/>
      <c r="H71" s="19"/>
      <c r="I71" s="19"/>
    </row>
    <row r="72" spans="2:9" ht="15.75">
      <c r="B72" s="39" t="s">
        <v>50</v>
      </c>
      <c r="C72" s="19"/>
      <c r="D72" s="19"/>
      <c r="E72" s="19"/>
      <c r="F72" s="40">
        <f>G49</f>
        <v>-151374.30000000005</v>
      </c>
      <c r="G72" s="40" t="s">
        <v>40</v>
      </c>
      <c r="H72" s="19"/>
      <c r="I72" s="19"/>
    </row>
    <row r="73" spans="2:9" ht="12.75">
      <c r="B73" s="24" t="s">
        <v>52</v>
      </c>
      <c r="C73" s="19"/>
      <c r="D73" s="19"/>
      <c r="E73" s="19"/>
      <c r="F73" s="32"/>
      <c r="G73" s="19"/>
      <c r="H73" s="19"/>
      <c r="I73" s="19"/>
    </row>
    <row r="74" spans="2:9" ht="12.75">
      <c r="B74" s="24" t="s">
        <v>53</v>
      </c>
      <c r="C74" s="19"/>
      <c r="D74" s="19"/>
      <c r="E74" s="19"/>
      <c r="F74" s="32"/>
      <c r="G74" s="19"/>
      <c r="H74" s="19"/>
      <c r="I74" s="19"/>
    </row>
    <row r="75" spans="2:9" ht="12.75">
      <c r="B75" s="13"/>
      <c r="C75" s="19"/>
      <c r="D75" s="19"/>
      <c r="E75" s="19"/>
      <c r="F75" s="19"/>
      <c r="G75" s="19"/>
      <c r="H75" s="19"/>
      <c r="I75" s="19"/>
    </row>
    <row r="76" spans="2:9" ht="15.75">
      <c r="B76" s="39" t="s">
        <v>56</v>
      </c>
      <c r="C76" s="19"/>
      <c r="D76" s="19"/>
      <c r="E76" s="19"/>
      <c r="F76" s="40">
        <f>D6+F68</f>
        <v>288982.41000000003</v>
      </c>
      <c r="G76" s="40" t="s">
        <v>40</v>
      </c>
      <c r="H76" s="19"/>
      <c r="I76" s="19"/>
    </row>
    <row r="77" spans="2:9" ht="12.75">
      <c r="B77" s="24" t="s">
        <v>38</v>
      </c>
      <c r="C77" s="19"/>
      <c r="D77" s="19"/>
      <c r="E77" s="19"/>
      <c r="F77" s="32"/>
      <c r="G77" s="19"/>
      <c r="H77" s="19"/>
      <c r="I77" s="19"/>
    </row>
    <row r="78" spans="2:9" ht="12.75">
      <c r="B78" s="24" t="s">
        <v>39</v>
      </c>
      <c r="C78" s="19"/>
      <c r="D78" s="19"/>
      <c r="E78" s="19"/>
      <c r="F78" s="32"/>
      <c r="G78" s="19"/>
      <c r="H78" s="19"/>
      <c r="I78" s="19"/>
    </row>
    <row r="79" spans="2:9" ht="12.75">
      <c r="B79" s="38"/>
      <c r="C79" s="19"/>
      <c r="D79" s="19"/>
      <c r="E79" s="19"/>
      <c r="F79" s="32"/>
      <c r="G79" s="19"/>
      <c r="H79" s="19"/>
      <c r="I79" s="19"/>
    </row>
    <row r="80" spans="2:9" ht="15.75">
      <c r="B80" s="39" t="s">
        <v>51</v>
      </c>
      <c r="C80" s="19"/>
      <c r="D80" s="19"/>
      <c r="E80" s="19"/>
      <c r="F80" s="40">
        <f>-570644.22-230136.24</f>
        <v>-800780.46</v>
      </c>
      <c r="G80" s="40" t="s">
        <v>40</v>
      </c>
      <c r="H80" s="19"/>
      <c r="I80" s="19"/>
    </row>
    <row r="81" spans="2:9" ht="12.75">
      <c r="B81" s="24" t="s">
        <v>52</v>
      </c>
      <c r="C81" s="19"/>
      <c r="D81" s="19"/>
      <c r="E81" s="19"/>
      <c r="F81" s="32"/>
      <c r="G81" s="19"/>
      <c r="H81" s="19"/>
      <c r="I81" s="19"/>
    </row>
    <row r="82" spans="2:9" ht="12.75">
      <c r="B82" s="24" t="s">
        <v>53</v>
      </c>
      <c r="C82" s="19"/>
      <c r="D82" s="19"/>
      <c r="E82" s="19"/>
      <c r="F82" s="32"/>
      <c r="G82" s="19"/>
      <c r="H82" s="19"/>
      <c r="I82" s="19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1:3" s="11" customFormat="1" ht="12.75">
      <c r="A85" s="37"/>
      <c r="C85" s="21" t="s">
        <v>20</v>
      </c>
    </row>
    <row r="86" spans="2:9" ht="12.75">
      <c r="B86" s="11"/>
      <c r="C86" s="62"/>
      <c r="D86" s="62"/>
      <c r="E86" s="62"/>
      <c r="F86" s="62"/>
      <c r="G86" s="62"/>
      <c r="H86" s="62"/>
      <c r="I86" s="62"/>
    </row>
    <row r="87" spans="2:6" ht="15">
      <c r="B87" s="17"/>
      <c r="C87" s="16"/>
      <c r="D87" s="16"/>
      <c r="E87" s="16"/>
      <c r="F87" s="16"/>
    </row>
    <row r="88" spans="2:6" ht="14.25">
      <c r="B88" s="16"/>
      <c r="C88" s="16"/>
      <c r="D88" s="16"/>
      <c r="E88" s="16"/>
      <c r="F88" s="16"/>
    </row>
    <row r="89" spans="2:6" ht="14.25">
      <c r="B89" s="16"/>
      <c r="C89" s="16"/>
      <c r="D89" s="16"/>
      <c r="E89" s="16"/>
      <c r="F89" s="16"/>
    </row>
    <row r="90" spans="2:6" ht="14.25">
      <c r="B90" s="16"/>
      <c r="C90" s="16"/>
      <c r="D90" s="16"/>
      <c r="E90" s="16"/>
      <c r="F90" s="16"/>
    </row>
    <row r="91" spans="2:6" ht="14.25">
      <c r="B91" s="16"/>
      <c r="C91" s="16"/>
      <c r="D91" s="16"/>
      <c r="E91" s="16"/>
      <c r="F91" s="16"/>
    </row>
    <row r="92" spans="2:6" ht="14.25">
      <c r="B92" s="16"/>
      <c r="C92" s="16"/>
      <c r="D92" s="16"/>
      <c r="E92" s="16"/>
      <c r="F92" s="16"/>
    </row>
    <row r="93" spans="2:6" ht="14.25">
      <c r="B93" s="16"/>
      <c r="C93" s="16"/>
      <c r="D93" s="16"/>
      <c r="E93" s="16"/>
      <c r="F93" s="16"/>
    </row>
    <row r="94" spans="2:6" ht="14.25">
      <c r="B94" s="16"/>
      <c r="C94" s="16"/>
      <c r="D94" s="16"/>
      <c r="E94" s="16"/>
      <c r="F94" s="16"/>
    </row>
  </sheetData>
  <sheetProtection/>
  <mergeCells count="19">
    <mergeCell ref="B44:B45"/>
    <mergeCell ref="B14:G14"/>
    <mergeCell ref="B19:G19"/>
    <mergeCell ref="E42:E43"/>
    <mergeCell ref="C15:C17"/>
    <mergeCell ref="D15:D17"/>
    <mergeCell ref="E15:E17"/>
    <mergeCell ref="F15:F17"/>
    <mergeCell ref="B42:B43"/>
    <mergeCell ref="G42:G43"/>
    <mergeCell ref="G44:G45"/>
    <mergeCell ref="F42:F43"/>
    <mergeCell ref="G15:G17"/>
    <mergeCell ref="C44:C45"/>
    <mergeCell ref="D44:D45"/>
    <mergeCell ref="F44:F45"/>
    <mergeCell ref="C42:C43"/>
    <mergeCell ref="D42:D43"/>
    <mergeCell ref="E44:E45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0">
      <selection activeCell="C81" sqref="C81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5.851562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15"/>
      <c r="D1" s="15"/>
      <c r="E1" s="15"/>
      <c r="F1" s="15"/>
    </row>
    <row r="2" spans="1:6" ht="18.75">
      <c r="A2" s="42"/>
      <c r="B2" s="15"/>
      <c r="D2" s="2" t="s">
        <v>59</v>
      </c>
      <c r="E2" s="15"/>
      <c r="F2" s="15"/>
    </row>
    <row r="3" spans="2:6" ht="18.75">
      <c r="B3" s="15"/>
      <c r="D3" s="3" t="s">
        <v>45</v>
      </c>
      <c r="E3" s="15"/>
      <c r="F3" s="15"/>
    </row>
    <row r="4" spans="2:6" ht="15.75">
      <c r="B4" s="12"/>
      <c r="C4" s="14"/>
      <c r="D4" s="14"/>
      <c r="E4" s="14"/>
      <c r="F4" s="14"/>
    </row>
    <row r="5" spans="2:6" ht="15.75">
      <c r="B5" s="46" t="s">
        <v>54</v>
      </c>
      <c r="C5" s="14"/>
      <c r="D5" s="47">
        <v>170417.66000000003</v>
      </c>
      <c r="E5" s="63"/>
      <c r="F5" s="14"/>
    </row>
    <row r="6" spans="2:6" ht="15">
      <c r="B6" s="38" t="s">
        <v>55</v>
      </c>
      <c r="C6" s="14"/>
      <c r="D6" s="63"/>
      <c r="E6" s="63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5.75">
      <c r="B9" s="12"/>
      <c r="C9" s="14"/>
      <c r="D9" s="14"/>
      <c r="E9" s="14"/>
      <c r="F9" s="14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'[2]Sheet1'!$N$15</f>
        <v>140029</v>
      </c>
      <c r="D14" s="50">
        <f>'[2]Sheet1'!$R$15</f>
        <v>141395</v>
      </c>
      <c r="E14" s="50">
        <f>D14-C14</f>
        <v>1366</v>
      </c>
      <c r="F14" s="50">
        <f>'[2]Sheet1'!$T$15</f>
        <v>140029</v>
      </c>
      <c r="G14" s="50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52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53"/>
      <c r="H16" s="62"/>
      <c r="I16" s="62"/>
    </row>
    <row r="17" spans="2:9" ht="13.5" thickBot="1">
      <c r="B17" s="6" t="s">
        <v>7</v>
      </c>
      <c r="C17" s="26">
        <f>C14</f>
        <v>140029</v>
      </c>
      <c r="D17" s="26">
        <f>D14</f>
        <v>141395</v>
      </c>
      <c r="E17" s="26">
        <f>E14</f>
        <v>1366</v>
      </c>
      <c r="F17" s="26">
        <f>F14</f>
        <v>140029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9</v>
      </c>
      <c r="C19" s="25">
        <f>'[2]Sheet1'!$N$18</f>
        <v>40950</v>
      </c>
      <c r="D19" s="25">
        <f>'[2]Sheet1'!$R$18</f>
        <v>41350</v>
      </c>
      <c r="E19" s="25">
        <f aca="true" t="shared" si="0" ref="E19:E26">D19-C19</f>
        <v>400</v>
      </c>
      <c r="F19" s="25">
        <f>'[2]Sheet1'!$T$18</f>
        <v>40950</v>
      </c>
      <c r="G19" s="25">
        <f aca="true" t="shared" si="1" ref="G19:G26">C19-F19</f>
        <v>0</v>
      </c>
      <c r="H19" s="62"/>
      <c r="I19" s="62"/>
    </row>
    <row r="20" spans="2:9" ht="19.5" customHeight="1" thickBot="1">
      <c r="B20" s="10" t="s">
        <v>10</v>
      </c>
      <c r="C20" s="25">
        <f>'[2]Sheet1'!$N$19</f>
        <v>2724</v>
      </c>
      <c r="D20" s="25">
        <f>'[2]Sheet1'!$R$19</f>
        <v>2751</v>
      </c>
      <c r="E20" s="25">
        <f t="shared" si="0"/>
        <v>27</v>
      </c>
      <c r="F20" s="25">
        <f>'[2]Sheet1'!$T$19</f>
        <v>2724</v>
      </c>
      <c r="G20" s="25">
        <f t="shared" si="1"/>
        <v>0</v>
      </c>
      <c r="H20" s="62"/>
      <c r="I20" s="62"/>
    </row>
    <row r="21" spans="2:9" ht="21" customHeight="1" thickBot="1">
      <c r="B21" s="10" t="s">
        <v>11</v>
      </c>
      <c r="C21" s="25">
        <f>'[2]Sheet1'!$N$20</f>
        <v>12124</v>
      </c>
      <c r="D21" s="25">
        <f>'[2]Sheet1'!$R$20</f>
        <v>12243</v>
      </c>
      <c r="E21" s="25">
        <f t="shared" si="0"/>
        <v>119</v>
      </c>
      <c r="F21" s="25">
        <f>'[2]Sheet1'!$T$20</f>
        <v>12124</v>
      </c>
      <c r="G21" s="25">
        <f t="shared" si="1"/>
        <v>0</v>
      </c>
      <c r="H21" s="62"/>
      <c r="I21" s="62"/>
    </row>
    <row r="22" spans="2:9" ht="25.5" customHeight="1" thickBot="1">
      <c r="B22" s="10" t="s">
        <v>12</v>
      </c>
      <c r="C22" s="25">
        <f>'[2]Sheet1'!$K$22+'[2]Sheet1'!$K$23</f>
        <v>46572</v>
      </c>
      <c r="D22" s="25">
        <f>'[2]Sheet1'!$R$22+'[2]Sheet1'!$R$23</f>
        <v>47026</v>
      </c>
      <c r="E22" s="25">
        <f t="shared" si="0"/>
        <v>454</v>
      </c>
      <c r="F22" s="25">
        <f>'[2]Sheet1'!$T$22+'[2]Sheet1'!$T$23</f>
        <v>63416</v>
      </c>
      <c r="G22" s="25">
        <f t="shared" si="1"/>
        <v>-16844</v>
      </c>
      <c r="H22" s="62"/>
      <c r="I22" s="62"/>
    </row>
    <row r="23" spans="2:9" ht="17.25" customHeight="1" thickBot="1">
      <c r="B23" s="10" t="s">
        <v>60</v>
      </c>
      <c r="C23" s="25">
        <f>'[2]Sheet1'!$N$25</f>
        <v>179107</v>
      </c>
      <c r="D23" s="25">
        <f>'[2]Sheet1'!$R$25</f>
        <v>180854</v>
      </c>
      <c r="E23" s="25">
        <f t="shared" si="0"/>
        <v>1747</v>
      </c>
      <c r="F23" s="25">
        <f>'[2]Sheet1'!$T$25</f>
        <v>179107</v>
      </c>
      <c r="G23" s="25">
        <f t="shared" si="1"/>
        <v>0</v>
      </c>
      <c r="H23" s="62"/>
      <c r="I23" s="62"/>
    </row>
    <row r="24" spans="2:9" ht="17.25" customHeight="1" thickBot="1">
      <c r="B24" s="10" t="s">
        <v>61</v>
      </c>
      <c r="C24" s="25">
        <f>'[2]Sheet1'!$N$24</f>
        <v>55530</v>
      </c>
      <c r="D24" s="25">
        <f>'[2]Sheet1'!$R$24</f>
        <v>56072</v>
      </c>
      <c r="E24" s="25">
        <f t="shared" si="0"/>
        <v>542</v>
      </c>
      <c r="F24" s="25">
        <f>'[2]Sheet1'!$T$24</f>
        <v>55530</v>
      </c>
      <c r="G24" s="25">
        <f t="shared" si="1"/>
        <v>0</v>
      </c>
      <c r="H24" s="62"/>
      <c r="I24" s="62"/>
    </row>
    <row r="25" spans="2:9" ht="25.5" customHeight="1" thickBot="1">
      <c r="B25" s="10" t="s">
        <v>13</v>
      </c>
      <c r="C25" s="25">
        <f>'[2]Sheet1'!$N$26</f>
        <v>115173</v>
      </c>
      <c r="D25" s="25">
        <f>'[2]Sheet1'!$R$26</f>
        <v>116296</v>
      </c>
      <c r="E25" s="25">
        <f t="shared" si="0"/>
        <v>1123</v>
      </c>
      <c r="F25" s="25">
        <f>'[2]Sheet1'!$T$26</f>
        <v>115173</v>
      </c>
      <c r="G25" s="25">
        <f t="shared" si="1"/>
        <v>0</v>
      </c>
      <c r="H25" s="62"/>
      <c r="I25" s="62"/>
    </row>
    <row r="26" spans="2:9" ht="25.5" customHeight="1" thickBot="1">
      <c r="B26" s="10" t="s">
        <v>14</v>
      </c>
      <c r="C26" s="25">
        <f>'[2]Sheet1'!$N$41+'[2]Sheet1'!$N$42</f>
        <v>12044</v>
      </c>
      <c r="D26" s="25">
        <f>'[2]Sheet1'!$R$41+'[2]Sheet1'!$R$42</f>
        <v>12161</v>
      </c>
      <c r="E26" s="25">
        <f t="shared" si="0"/>
        <v>117</v>
      </c>
      <c r="F26" s="25">
        <f>'[2]Sheet1'!$T$41+'[2]Sheet1'!$T$42</f>
        <v>12044</v>
      </c>
      <c r="G26" s="25">
        <f t="shared" si="1"/>
        <v>0</v>
      </c>
      <c r="H26" s="62"/>
      <c r="I26" s="62"/>
    </row>
    <row r="27" spans="2:9" ht="13.5" thickBot="1">
      <c r="B27" s="6" t="s">
        <v>7</v>
      </c>
      <c r="C27" s="26">
        <f>SUM(C19:C26)</f>
        <v>464224</v>
      </c>
      <c r="D27" s="26">
        <f>SUM(D19:D26)</f>
        <v>468753</v>
      </c>
      <c r="E27" s="26">
        <f>SUM(E19:E26)</f>
        <v>4529</v>
      </c>
      <c r="F27" s="26">
        <f>SUM(F19:F26)</f>
        <v>481068</v>
      </c>
      <c r="G27" s="26">
        <f>SUM(G19:G26)</f>
        <v>-16844</v>
      </c>
      <c r="H27" s="62"/>
      <c r="I27" s="62"/>
    </row>
    <row r="28" spans="2:9" ht="13.5" thickBot="1">
      <c r="B28" s="7" t="s">
        <v>15</v>
      </c>
      <c r="C28" s="26">
        <f>C17+C27</f>
        <v>604253</v>
      </c>
      <c r="D28" s="26">
        <f>D17+D27</f>
        <v>610148</v>
      </c>
      <c r="E28" s="26">
        <f>E17+E27</f>
        <v>5895</v>
      </c>
      <c r="F28" s="26">
        <f>F17+F27</f>
        <v>621097</v>
      </c>
      <c r="G28" s="26">
        <f>G17+G27</f>
        <v>-16844</v>
      </c>
      <c r="H28" s="62"/>
      <c r="I28" s="62"/>
    </row>
    <row r="29" spans="2:9" ht="12.75">
      <c r="B29" s="11"/>
      <c r="C29" s="62"/>
      <c r="D29" s="62"/>
      <c r="E29" s="62"/>
      <c r="F29" s="62"/>
      <c r="G29" s="62"/>
      <c r="H29" s="62"/>
      <c r="I29" s="62"/>
    </row>
    <row r="30" spans="2:9" ht="13.5" thickBot="1">
      <c r="B30" s="18" t="s">
        <v>47</v>
      </c>
      <c r="C30" s="62"/>
      <c r="D30" s="62"/>
      <c r="E30" s="62"/>
      <c r="F30" s="62"/>
      <c r="G30" s="62"/>
      <c r="H30" s="62"/>
      <c r="I30" s="62"/>
    </row>
    <row r="31" spans="2:9" ht="105" customHeight="1" thickBot="1">
      <c r="B31" s="22" t="s">
        <v>3</v>
      </c>
      <c r="C31" s="22" t="s">
        <v>28</v>
      </c>
      <c r="D31" s="23" t="s">
        <v>23</v>
      </c>
      <c r="E31" s="23" t="s">
        <v>31</v>
      </c>
      <c r="F31" s="22" t="s">
        <v>16</v>
      </c>
      <c r="G31" s="22" t="s">
        <v>29</v>
      </c>
      <c r="H31" s="62"/>
      <c r="I31" s="62"/>
    </row>
    <row r="32" spans="2:9" ht="13.5" customHeight="1" thickBot="1">
      <c r="B32" s="43">
        <v>1</v>
      </c>
      <c r="C32" s="44">
        <v>2</v>
      </c>
      <c r="D32" s="44">
        <v>3</v>
      </c>
      <c r="E32" s="44" t="s">
        <v>42</v>
      </c>
      <c r="F32" s="44">
        <v>5</v>
      </c>
      <c r="G32" s="45" t="s">
        <v>43</v>
      </c>
      <c r="H32" s="62"/>
      <c r="I32" s="62"/>
    </row>
    <row r="33" spans="2:9" ht="38.25" customHeight="1" thickBot="1">
      <c r="B33" s="10" t="s">
        <v>17</v>
      </c>
      <c r="C33" s="28">
        <f>'[2]Sheet1'!$N$12</f>
        <v>269046</v>
      </c>
      <c r="D33" s="28">
        <f>'[2]Sheet1'!$R$12</f>
        <v>271670</v>
      </c>
      <c r="E33" s="28">
        <f>D33-C33</f>
        <v>2624</v>
      </c>
      <c r="F33" s="28">
        <f>'[2]Sheet1'!$U$12</f>
        <v>159264</v>
      </c>
      <c r="G33" s="28">
        <f>C33-F33</f>
        <v>109782</v>
      </c>
      <c r="H33" s="65"/>
      <c r="I33" s="62"/>
    </row>
    <row r="34" spans="2:9" ht="13.5" thickBot="1">
      <c r="B34" s="6" t="s">
        <v>18</v>
      </c>
      <c r="C34" s="29">
        <f>C33</f>
        <v>269046</v>
      </c>
      <c r="D34" s="29">
        <f>D33</f>
        <v>271670</v>
      </c>
      <c r="E34" s="29">
        <f>E33</f>
        <v>2624</v>
      </c>
      <c r="F34" s="29">
        <f>F33</f>
        <v>159264</v>
      </c>
      <c r="G34" s="29">
        <f>G33</f>
        <v>109782</v>
      </c>
      <c r="H34" s="62"/>
      <c r="I34" s="62"/>
    </row>
    <row r="35" spans="2:9" ht="12.75">
      <c r="B35" s="13"/>
      <c r="C35" s="62"/>
      <c r="D35" s="62"/>
      <c r="E35" s="62"/>
      <c r="F35" s="62"/>
      <c r="G35" s="62"/>
      <c r="H35" s="62"/>
      <c r="I35" s="62"/>
    </row>
    <row r="36" spans="2:9" ht="13.5" thickBot="1">
      <c r="B36" s="18" t="s">
        <v>30</v>
      </c>
      <c r="C36" s="62"/>
      <c r="D36" s="62"/>
      <c r="E36" s="62"/>
      <c r="F36" s="62"/>
      <c r="G36" s="62"/>
      <c r="H36" s="62"/>
      <c r="I36" s="62"/>
    </row>
    <row r="37" spans="2:9" ht="103.5" customHeight="1" thickBot="1">
      <c r="B37" s="22" t="s">
        <v>3</v>
      </c>
      <c r="C37" s="5" t="s">
        <v>25</v>
      </c>
      <c r="D37" s="8" t="s">
        <v>26</v>
      </c>
      <c r="E37" s="23" t="s">
        <v>31</v>
      </c>
      <c r="F37" s="5" t="s">
        <v>27</v>
      </c>
      <c r="G37" s="22" t="s">
        <v>29</v>
      </c>
      <c r="H37" s="62"/>
      <c r="I37" s="62"/>
    </row>
    <row r="38" spans="2:9" ht="13.5" customHeight="1" thickBot="1">
      <c r="B38" s="43">
        <v>1</v>
      </c>
      <c r="C38" s="44">
        <v>2</v>
      </c>
      <c r="D38" s="44">
        <v>3</v>
      </c>
      <c r="E38" s="44" t="s">
        <v>42</v>
      </c>
      <c r="F38" s="44">
        <v>5</v>
      </c>
      <c r="G38" s="45" t="s">
        <v>43</v>
      </c>
      <c r="H38" s="62"/>
      <c r="I38" s="62"/>
    </row>
    <row r="39" spans="2:9" ht="16.5" customHeight="1">
      <c r="B39" s="54" t="s">
        <v>46</v>
      </c>
      <c r="C39" s="50">
        <f>'[2]Sheet1'!$N$33</f>
        <v>396367</v>
      </c>
      <c r="D39" s="50">
        <f>'[2]Sheet1'!$R$33</f>
        <v>400234</v>
      </c>
      <c r="E39" s="50">
        <f>D39-C39</f>
        <v>3867</v>
      </c>
      <c r="F39" s="50">
        <f>'[2]Sheet1'!$T$33</f>
        <v>446786</v>
      </c>
      <c r="G39" s="50">
        <f>C39-F39</f>
        <v>-50419</v>
      </c>
      <c r="H39" s="62"/>
      <c r="I39" s="62"/>
    </row>
    <row r="40" spans="2:9" ht="24" customHeight="1" thickBot="1">
      <c r="B40" s="55"/>
      <c r="C40" s="51"/>
      <c r="D40" s="51"/>
      <c r="E40" s="51"/>
      <c r="F40" s="51"/>
      <c r="G40" s="51"/>
      <c r="H40" s="62"/>
      <c r="I40" s="62"/>
    </row>
    <row r="41" spans="2:9" ht="17.25" customHeight="1">
      <c r="B41" s="54" t="s">
        <v>44</v>
      </c>
      <c r="C41" s="50">
        <f>1149129.35-55306.21</f>
        <v>1093823.1400000001</v>
      </c>
      <c r="D41" s="50">
        <v>1104097.5</v>
      </c>
      <c r="E41" s="50">
        <f>D41-C41</f>
        <v>10274.35999999987</v>
      </c>
      <c r="F41" s="50">
        <f>'[2]Sheet1'!$T$36</f>
        <v>1153803</v>
      </c>
      <c r="G41" s="50">
        <f>C41-F41</f>
        <v>-59979.85999999987</v>
      </c>
      <c r="H41" s="62"/>
      <c r="I41" s="62"/>
    </row>
    <row r="42" spans="2:9" ht="13.5" thickBot="1">
      <c r="B42" s="55"/>
      <c r="C42" s="51"/>
      <c r="D42" s="51"/>
      <c r="E42" s="51"/>
      <c r="F42" s="51"/>
      <c r="G42" s="51"/>
      <c r="H42" s="62"/>
      <c r="I42" s="62"/>
    </row>
    <row r="43" spans="2:9" ht="13.5" thickBot="1">
      <c r="B43" s="7" t="s">
        <v>19</v>
      </c>
      <c r="C43" s="29">
        <f>C39+C41</f>
        <v>1490190.1400000001</v>
      </c>
      <c r="D43" s="29">
        <f>D39+D41</f>
        <v>1504331.5</v>
      </c>
      <c r="E43" s="29">
        <f>E39+E41</f>
        <v>14141.35999999987</v>
      </c>
      <c r="F43" s="29">
        <f>F39+F41</f>
        <v>1600589</v>
      </c>
      <c r="G43" s="29">
        <f>G39+G41</f>
        <v>-110398.85999999987</v>
      </c>
      <c r="H43" s="62"/>
      <c r="I43" s="62"/>
    </row>
    <row r="44" spans="2:9" ht="12.75">
      <c r="B44" s="11"/>
      <c r="C44" s="62"/>
      <c r="D44" s="62"/>
      <c r="E44" s="62"/>
      <c r="F44" s="62"/>
      <c r="G44" s="62"/>
      <c r="H44" s="62"/>
      <c r="I44" s="62"/>
    </row>
    <row r="45" spans="2:9" ht="12.75">
      <c r="B45" s="11"/>
      <c r="C45" s="62"/>
      <c r="D45" s="62"/>
      <c r="E45" s="62"/>
      <c r="F45" s="62"/>
      <c r="G45" s="62"/>
      <c r="H45" s="62"/>
      <c r="I45" s="62"/>
    </row>
    <row r="46" spans="2:9" ht="12.75">
      <c r="B46" s="20" t="s">
        <v>62</v>
      </c>
      <c r="C46" s="62"/>
      <c r="D46" s="62"/>
      <c r="E46" s="62"/>
      <c r="F46" s="62"/>
      <c r="G46" s="31">
        <f>F48+F49</f>
        <v>22660.35999999987</v>
      </c>
      <c r="H46" s="62"/>
      <c r="I46" s="62"/>
    </row>
    <row r="47" spans="2:9" ht="12.75">
      <c r="B47" s="30" t="s">
        <v>32</v>
      </c>
      <c r="C47" s="65"/>
      <c r="D47" s="62"/>
      <c r="E47" s="62"/>
      <c r="F47" s="62"/>
      <c r="G47" s="62"/>
      <c r="H47" s="62"/>
      <c r="I47" s="62"/>
    </row>
    <row r="48" spans="2:9" ht="12.75">
      <c r="B48" s="38" t="s">
        <v>63</v>
      </c>
      <c r="C48" s="62"/>
      <c r="D48" s="62"/>
      <c r="E48" s="62"/>
      <c r="F48" s="32">
        <f>(E28+E34)</f>
        <v>8519</v>
      </c>
      <c r="G48" s="62"/>
      <c r="H48" s="62"/>
      <c r="I48" s="62"/>
    </row>
    <row r="49" spans="2:9" ht="12.75">
      <c r="B49" s="38" t="s">
        <v>64</v>
      </c>
      <c r="C49" s="62"/>
      <c r="D49" s="62"/>
      <c r="E49" s="62"/>
      <c r="F49" s="32">
        <f>(E43)</f>
        <v>14141.35999999987</v>
      </c>
      <c r="G49" s="62"/>
      <c r="H49" s="62"/>
      <c r="I49" s="62"/>
    </row>
    <row r="50" spans="2:9" ht="12.75">
      <c r="B50" s="38"/>
      <c r="C50" s="62"/>
      <c r="D50" s="62"/>
      <c r="E50" s="62"/>
      <c r="F50" s="32"/>
      <c r="G50" s="62"/>
      <c r="H50" s="62"/>
      <c r="I50" s="62"/>
    </row>
    <row r="51" spans="2:9" s="33" customFormat="1" ht="12.75">
      <c r="B51" s="34" t="s">
        <v>35</v>
      </c>
      <c r="C51" s="66"/>
      <c r="D51" s="66"/>
      <c r="E51" s="67"/>
      <c r="F51" s="37"/>
      <c r="G51" s="31">
        <f>F53+F54</f>
        <v>-110398.85999999987</v>
      </c>
      <c r="H51" s="66"/>
      <c r="I51" s="66"/>
    </row>
    <row r="52" spans="2:9" s="33" customFormat="1" ht="12.75">
      <c r="B52" s="30" t="s">
        <v>32</v>
      </c>
      <c r="C52" s="66"/>
      <c r="D52" s="66"/>
      <c r="E52" s="67"/>
      <c r="F52" s="37"/>
      <c r="G52" s="41"/>
      <c r="H52" s="66"/>
      <c r="I52" s="66"/>
    </row>
    <row r="53" spans="2:9" s="33" customFormat="1" ht="12.75">
      <c r="B53" s="38" t="s">
        <v>36</v>
      </c>
      <c r="C53" s="66"/>
      <c r="D53" s="66"/>
      <c r="E53" s="67"/>
      <c r="F53" s="32">
        <f>IF((G28+G34)&lt;=0,G28+G34,0)</f>
        <v>0</v>
      </c>
      <c r="G53" s="41"/>
      <c r="H53" s="66"/>
      <c r="I53" s="66"/>
    </row>
    <row r="54" spans="2:9" s="33" customFormat="1" ht="12.75">
      <c r="B54" s="38" t="s">
        <v>37</v>
      </c>
      <c r="C54" s="66"/>
      <c r="D54" s="66"/>
      <c r="E54" s="67"/>
      <c r="F54" s="32">
        <f>IF(G43&lt;=0,G43,0)</f>
        <v>-110398.85999999987</v>
      </c>
      <c r="G54" s="41"/>
      <c r="H54" s="66"/>
      <c r="I54" s="66"/>
    </row>
    <row r="55" spans="2:9" s="33" customFormat="1" ht="12.75">
      <c r="B55" s="38"/>
      <c r="C55" s="66"/>
      <c r="D55" s="66"/>
      <c r="E55" s="67"/>
      <c r="F55" s="37"/>
      <c r="G55" s="41"/>
      <c r="H55" s="66"/>
      <c r="I55" s="66"/>
    </row>
    <row r="56" spans="2:9" s="33" customFormat="1" ht="12.75">
      <c r="B56" s="34" t="s">
        <v>65</v>
      </c>
      <c r="C56" s="66"/>
      <c r="D56" s="66"/>
      <c r="E56" s="67"/>
      <c r="F56" s="37"/>
      <c r="G56" s="31">
        <f>F58+F59</f>
        <v>92938</v>
      </c>
      <c r="H56" s="66"/>
      <c r="I56" s="66"/>
    </row>
    <row r="57" spans="2:9" ht="12.75">
      <c r="B57" s="30" t="s">
        <v>32</v>
      </c>
      <c r="C57" s="62"/>
      <c r="D57" s="62"/>
      <c r="E57" s="62"/>
      <c r="F57" s="11"/>
      <c r="G57" s="41"/>
      <c r="H57" s="62"/>
      <c r="I57" s="62"/>
    </row>
    <row r="58" spans="2:9" ht="12.75">
      <c r="B58" s="38" t="s">
        <v>36</v>
      </c>
      <c r="C58" s="62"/>
      <c r="D58" s="62"/>
      <c r="E58" s="62"/>
      <c r="F58" s="32">
        <f>IF((G28+G34)&gt;0,G28+G34,0)</f>
        <v>92938</v>
      </c>
      <c r="G58" s="62"/>
      <c r="H58" s="62"/>
      <c r="I58" s="62"/>
    </row>
    <row r="59" spans="2:9" ht="12.75">
      <c r="B59" s="38" t="s">
        <v>37</v>
      </c>
      <c r="C59" s="62"/>
      <c r="D59" s="62"/>
      <c r="E59" s="62"/>
      <c r="F59" s="32">
        <f>IF(G43&gt;0,G43,0)</f>
        <v>0</v>
      </c>
      <c r="G59" s="62"/>
      <c r="H59" s="62"/>
      <c r="I59" s="62"/>
    </row>
    <row r="60" spans="2:9" ht="12.75">
      <c r="B60" s="38"/>
      <c r="C60" s="62"/>
      <c r="D60" s="62"/>
      <c r="E60" s="62"/>
      <c r="F60" s="32"/>
      <c r="G60" s="62"/>
      <c r="H60" s="62"/>
      <c r="I60" s="62"/>
    </row>
    <row r="61" spans="2:9" ht="12.75">
      <c r="B61" s="49" t="s">
        <v>57</v>
      </c>
      <c r="C61" s="19"/>
      <c r="D61" s="19"/>
      <c r="E61" s="19"/>
      <c r="F61" s="11"/>
      <c r="G61" s="19"/>
      <c r="H61" s="19"/>
      <c r="I61" s="19"/>
    </row>
    <row r="62" spans="2:9" ht="12.75">
      <c r="B62" s="11" t="s">
        <v>58</v>
      </c>
      <c r="C62" s="19"/>
      <c r="D62" s="19"/>
      <c r="E62" s="48"/>
      <c r="F62" s="37"/>
      <c r="G62" s="31">
        <f>1220.87+400+700+2400*2</f>
        <v>7120.87</v>
      </c>
      <c r="H62" s="19"/>
      <c r="I62" s="19"/>
    </row>
    <row r="63" spans="2:9" ht="12.75">
      <c r="B63" s="18"/>
      <c r="C63" s="19"/>
      <c r="D63" s="19"/>
      <c r="E63" s="19"/>
      <c r="F63" s="19"/>
      <c r="G63" s="19"/>
      <c r="H63" s="19"/>
      <c r="I63" s="19"/>
    </row>
    <row r="64" spans="2:9" ht="12.75">
      <c r="B64" s="38"/>
      <c r="C64" s="19"/>
      <c r="D64" s="19"/>
      <c r="E64" s="19"/>
      <c r="F64" s="32"/>
      <c r="G64" s="19"/>
      <c r="H64" s="19"/>
      <c r="I64" s="19"/>
    </row>
    <row r="65" spans="2:9" ht="15.75">
      <c r="B65" s="39" t="s">
        <v>49</v>
      </c>
      <c r="C65" s="19"/>
      <c r="D65" s="19"/>
      <c r="E65" s="19"/>
      <c r="F65" s="40">
        <f>G51+G56+G62</f>
        <v>-10339.98999999987</v>
      </c>
      <c r="G65" s="40" t="s">
        <v>40</v>
      </c>
      <c r="H65" s="19"/>
      <c r="I65" s="19"/>
    </row>
    <row r="66" spans="2:9" ht="12.75">
      <c r="B66" s="24" t="s">
        <v>38</v>
      </c>
      <c r="C66" s="19"/>
      <c r="D66" s="19"/>
      <c r="E66" s="19"/>
      <c r="F66" s="32"/>
      <c r="G66" s="19"/>
      <c r="H66" s="19"/>
      <c r="I66" s="19"/>
    </row>
    <row r="67" spans="2:9" ht="12.75">
      <c r="B67" s="24" t="s">
        <v>39</v>
      </c>
      <c r="C67" s="19"/>
      <c r="D67" s="19"/>
      <c r="E67" s="19"/>
      <c r="F67" s="32"/>
      <c r="G67" s="19"/>
      <c r="H67" s="19"/>
      <c r="I67" s="19"/>
    </row>
    <row r="68" spans="2:9" ht="12.75">
      <c r="B68" s="38"/>
      <c r="C68" s="19"/>
      <c r="D68" s="19"/>
      <c r="E68" s="19"/>
      <c r="F68" s="32"/>
      <c r="G68" s="19"/>
      <c r="H68" s="19"/>
      <c r="I68" s="19"/>
    </row>
    <row r="69" spans="2:9" ht="15.75">
      <c r="B69" s="39" t="s">
        <v>50</v>
      </c>
      <c r="C69" s="19"/>
      <c r="D69" s="19"/>
      <c r="E69" s="19"/>
      <c r="F69" s="40">
        <f>G46</f>
        <v>22660.35999999987</v>
      </c>
      <c r="G69" s="40" t="s">
        <v>40</v>
      </c>
      <c r="H69" s="19"/>
      <c r="I69" s="19"/>
    </row>
    <row r="70" spans="2:9" ht="12.75">
      <c r="B70" s="24" t="s">
        <v>52</v>
      </c>
      <c r="C70" s="19"/>
      <c r="D70" s="19"/>
      <c r="E70" s="19"/>
      <c r="F70" s="32"/>
      <c r="G70" s="19"/>
      <c r="H70" s="19"/>
      <c r="I70" s="19"/>
    </row>
    <row r="71" spans="2:9" ht="12.75">
      <c r="B71" s="24" t="s">
        <v>53</v>
      </c>
      <c r="C71" s="19"/>
      <c r="D71" s="19"/>
      <c r="E71" s="19"/>
      <c r="F71" s="32"/>
      <c r="G71" s="19"/>
      <c r="H71" s="19"/>
      <c r="I71" s="19"/>
    </row>
    <row r="72" spans="2:9" ht="12.75">
      <c r="B72" s="13"/>
      <c r="C72" s="19"/>
      <c r="D72" s="19"/>
      <c r="E72" s="19"/>
      <c r="F72" s="19"/>
      <c r="G72" s="19"/>
      <c r="H72" s="19"/>
      <c r="I72" s="19"/>
    </row>
    <row r="73" spans="2:9" ht="15.75">
      <c r="B73" s="39" t="s">
        <v>56</v>
      </c>
      <c r="C73" s="19"/>
      <c r="D73" s="19"/>
      <c r="E73" s="19"/>
      <c r="F73" s="40">
        <f>D5+F65</f>
        <v>160077.67000000016</v>
      </c>
      <c r="G73" s="40" t="s">
        <v>40</v>
      </c>
      <c r="H73" s="19"/>
      <c r="I73" s="19"/>
    </row>
    <row r="74" spans="2:9" ht="12.75">
      <c r="B74" s="24" t="s">
        <v>38</v>
      </c>
      <c r="C74" s="19"/>
      <c r="D74" s="19"/>
      <c r="E74" s="19"/>
      <c r="F74" s="32"/>
      <c r="G74" s="19"/>
      <c r="H74" s="19"/>
      <c r="I74" s="19"/>
    </row>
    <row r="75" spans="2:9" ht="12.75">
      <c r="B75" s="24" t="s">
        <v>39</v>
      </c>
      <c r="C75" s="19"/>
      <c r="D75" s="19"/>
      <c r="E75" s="19"/>
      <c r="F75" s="32"/>
      <c r="G75" s="19"/>
      <c r="H75" s="19"/>
      <c r="I75" s="19"/>
    </row>
    <row r="76" spans="2:9" ht="12.75">
      <c r="B76" s="38"/>
      <c r="C76" s="19"/>
      <c r="D76" s="19"/>
      <c r="E76" s="19"/>
      <c r="F76" s="32"/>
      <c r="G76" s="19"/>
      <c r="H76" s="19"/>
      <c r="I76" s="19"/>
    </row>
    <row r="77" spans="2:9" ht="15.75">
      <c r="B77" s="39" t="s">
        <v>51</v>
      </c>
      <c r="C77" s="19"/>
      <c r="D77" s="19"/>
      <c r="E77" s="19"/>
      <c r="F77" s="40">
        <f>-41530.12-164486.48</f>
        <v>-206016.6</v>
      </c>
      <c r="G77" s="40" t="s">
        <v>40</v>
      </c>
      <c r="H77" s="19"/>
      <c r="I77" s="19"/>
    </row>
    <row r="78" spans="2:9" ht="12.75">
      <c r="B78" s="24" t="s">
        <v>52</v>
      </c>
      <c r="C78" s="19"/>
      <c r="D78" s="19"/>
      <c r="E78" s="19"/>
      <c r="F78" s="32"/>
      <c r="G78" s="19"/>
      <c r="H78" s="19"/>
      <c r="I78" s="19"/>
    </row>
    <row r="79" spans="2:9" ht="12.75">
      <c r="B79" s="24" t="s">
        <v>53</v>
      </c>
      <c r="C79" s="19"/>
      <c r="D79" s="19"/>
      <c r="E79" s="19"/>
      <c r="F79" s="32"/>
      <c r="G79" s="19"/>
      <c r="H79" s="19"/>
      <c r="I79" s="19"/>
    </row>
    <row r="80" spans="2:9" ht="12.75">
      <c r="B80" s="11"/>
      <c r="C80" s="62"/>
      <c r="D80" s="62"/>
      <c r="E80" s="62"/>
      <c r="F80" s="62"/>
      <c r="G80" s="62"/>
      <c r="H80" s="62"/>
      <c r="I80" s="62"/>
    </row>
    <row r="81" spans="2:9" ht="12.75">
      <c r="B81" s="11"/>
      <c r="C81" s="62"/>
      <c r="D81" s="62"/>
      <c r="E81" s="62"/>
      <c r="F81" s="62"/>
      <c r="G81" s="62"/>
      <c r="H81" s="62"/>
      <c r="I81" s="62"/>
    </row>
    <row r="82" spans="1:3" s="11" customFormat="1" ht="12.75">
      <c r="A82" s="37"/>
      <c r="C82" s="21" t="s">
        <v>20</v>
      </c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6" ht="15">
      <c r="B84" s="17"/>
      <c r="C84" s="16"/>
      <c r="D84" s="16"/>
      <c r="E84" s="16"/>
      <c r="F84" s="16"/>
    </row>
    <row r="85" spans="2:6" ht="14.25">
      <c r="B85" s="16"/>
      <c r="C85" s="16"/>
      <c r="D85" s="16"/>
      <c r="E85" s="16"/>
      <c r="F85" s="16"/>
    </row>
    <row r="86" spans="2:6" ht="14.25">
      <c r="B86" s="16"/>
      <c r="C86" s="16"/>
      <c r="D86" s="16"/>
      <c r="E86" s="16"/>
      <c r="F86" s="16"/>
    </row>
    <row r="87" spans="2:6" ht="14.25">
      <c r="B87" s="16"/>
      <c r="C87" s="16"/>
      <c r="D87" s="16"/>
      <c r="E87" s="16"/>
      <c r="F87" s="16"/>
    </row>
    <row r="88" spans="2:6" ht="14.25">
      <c r="B88" s="16"/>
      <c r="C88" s="16"/>
      <c r="D88" s="16"/>
      <c r="E88" s="16"/>
      <c r="F88" s="16"/>
    </row>
    <row r="89" spans="2:6" ht="14.25">
      <c r="B89" s="16"/>
      <c r="C89" s="16"/>
      <c r="D89" s="16"/>
      <c r="E89" s="16"/>
      <c r="F89" s="16"/>
    </row>
    <row r="90" spans="2:6" ht="14.25">
      <c r="B90" s="16"/>
      <c r="C90" s="16"/>
      <c r="D90" s="16"/>
      <c r="E90" s="16"/>
      <c r="F90" s="16"/>
    </row>
    <row r="91" spans="2:6" ht="14.25">
      <c r="B91" s="16"/>
      <c r="C91" s="16"/>
      <c r="D91" s="16"/>
      <c r="E91" s="16"/>
      <c r="F91" s="16"/>
    </row>
  </sheetData>
  <sheetProtection/>
  <mergeCells count="19">
    <mergeCell ref="B41:B42"/>
    <mergeCell ref="C41:C42"/>
    <mergeCell ref="D41:D42"/>
    <mergeCell ref="E41:E42"/>
    <mergeCell ref="F41:F42"/>
    <mergeCell ref="G41:G42"/>
    <mergeCell ref="B18:G18"/>
    <mergeCell ref="B39:B40"/>
    <mergeCell ref="C39:C40"/>
    <mergeCell ref="D39:D40"/>
    <mergeCell ref="E39:E40"/>
    <mergeCell ref="F39:F40"/>
    <mergeCell ref="G39:G40"/>
    <mergeCell ref="B13:G13"/>
    <mergeCell ref="C14:C16"/>
    <mergeCell ref="D14:D16"/>
    <mergeCell ref="E14:E16"/>
    <mergeCell ref="F14:F16"/>
    <mergeCell ref="G14:G16"/>
  </mergeCells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37">
      <selection activeCell="C44" sqref="C44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94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179634.38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2" customHeight="1">
      <c r="B9" s="12"/>
      <c r="C9" s="72"/>
      <c r="D9" s="72"/>
      <c r="E9" s="72"/>
      <c r="F9" s="72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'[20]Sheet1'!$N$15</f>
        <v>272466</v>
      </c>
      <c r="D14" s="50">
        <f>'[20]Sheet1'!$R$15</f>
        <v>256229</v>
      </c>
      <c r="E14" s="50">
        <f>D14-C14</f>
        <v>-16237</v>
      </c>
      <c r="F14" s="50">
        <f>'[20]Sheet1'!$T$15</f>
        <v>272466</v>
      </c>
      <c r="G14" s="50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52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53"/>
      <c r="H16" s="62"/>
      <c r="I16" s="62"/>
    </row>
    <row r="17" spans="2:9" ht="13.5" thickBot="1">
      <c r="B17" s="6" t="s">
        <v>7</v>
      </c>
      <c r="C17" s="26">
        <f>C14</f>
        <v>272466</v>
      </c>
      <c r="D17" s="26">
        <f>D14</f>
        <v>256229</v>
      </c>
      <c r="E17" s="26">
        <f>E14</f>
        <v>-16237</v>
      </c>
      <c r="F17" s="26">
        <f>F14</f>
        <v>272466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70</v>
      </c>
      <c r="C19" s="25">
        <v>0</v>
      </c>
      <c r="D19" s="25">
        <v>0</v>
      </c>
      <c r="E19" s="25">
        <f>D19-C19</f>
        <v>0</v>
      </c>
      <c r="F19" s="25">
        <f>C19</f>
        <v>0</v>
      </c>
      <c r="G19" s="25">
        <f>C19-F19</f>
        <v>0</v>
      </c>
      <c r="H19" s="62"/>
      <c r="I19" s="62"/>
    </row>
    <row r="20" spans="2:9" ht="27" customHeight="1" thickBot="1">
      <c r="B20" s="10" t="s">
        <v>9</v>
      </c>
      <c r="C20" s="25">
        <f>'[20]Sheet1'!$N$18</f>
        <v>92361</v>
      </c>
      <c r="D20" s="25">
        <f>'[20]Sheet1'!$R$18</f>
        <v>86857</v>
      </c>
      <c r="E20" s="25">
        <f>D20-C20</f>
        <v>-5504</v>
      </c>
      <c r="F20" s="25">
        <f>'[20]Sheet1'!$T$18</f>
        <v>92361</v>
      </c>
      <c r="G20" s="25">
        <f>C20-F20</f>
        <v>0</v>
      </c>
      <c r="H20" s="62"/>
      <c r="I20" s="62"/>
    </row>
    <row r="21" spans="2:9" ht="19.5" customHeight="1" thickBot="1">
      <c r="B21" s="10" t="s">
        <v>10</v>
      </c>
      <c r="C21" s="25">
        <f>'[20]Sheet1'!$N$19</f>
        <v>8506</v>
      </c>
      <c r="D21" s="25">
        <f>'[20]Sheet1'!$R$19</f>
        <v>7999</v>
      </c>
      <c r="E21" s="25">
        <f>D21-C21</f>
        <v>-507</v>
      </c>
      <c r="F21" s="25">
        <f>'[20]Sheet1'!$T$19</f>
        <v>8506</v>
      </c>
      <c r="G21" s="25">
        <f>C21-F21</f>
        <v>0</v>
      </c>
      <c r="H21" s="62"/>
      <c r="I21" s="62"/>
    </row>
    <row r="22" spans="2:9" ht="21" customHeight="1" thickBot="1">
      <c r="B22" s="10" t="s">
        <v>11</v>
      </c>
      <c r="C22" s="25">
        <f>'[20]Sheet1'!$N$20</f>
        <v>19213</v>
      </c>
      <c r="D22" s="25">
        <f>'[20]Sheet1'!$R$20</f>
        <v>18068</v>
      </c>
      <c r="E22" s="25">
        <f>D22-C22</f>
        <v>-1145</v>
      </c>
      <c r="F22" s="25">
        <f>'[20]Sheet1'!$T$20</f>
        <v>19213</v>
      </c>
      <c r="G22" s="25">
        <f>C22-F22</f>
        <v>0</v>
      </c>
      <c r="H22" s="62"/>
      <c r="I22" s="62"/>
    </row>
    <row r="23" spans="2:9" ht="25.5" customHeight="1" thickBot="1">
      <c r="B23" s="10" t="s">
        <v>12</v>
      </c>
      <c r="C23" s="25">
        <f>'[20]Sheet1'!$K$22</f>
        <v>30078</v>
      </c>
      <c r="D23" s="25">
        <f>'[20]Sheet1'!$R$22</f>
        <v>28286</v>
      </c>
      <c r="E23" s="25">
        <f>D23-C23</f>
        <v>-1792</v>
      </c>
      <c r="F23" s="25">
        <f>'[20]Sheet1'!$T$22</f>
        <v>34215</v>
      </c>
      <c r="G23" s="25">
        <f>C23-F23</f>
        <v>-4137</v>
      </c>
      <c r="H23" s="62"/>
      <c r="I23" s="62"/>
    </row>
    <row r="24" spans="2:9" ht="17.25" customHeight="1" thickBot="1">
      <c r="B24" s="10" t="s">
        <v>60</v>
      </c>
      <c r="C24" s="25">
        <v>0</v>
      </c>
      <c r="D24" s="25">
        <v>0</v>
      </c>
      <c r="E24" s="25">
        <f>D24-C24</f>
        <v>0</v>
      </c>
      <c r="F24" s="25">
        <v>0</v>
      </c>
      <c r="G24" s="25">
        <f>C24-F24</f>
        <v>0</v>
      </c>
      <c r="H24" s="62"/>
      <c r="I24" s="62"/>
    </row>
    <row r="25" spans="2:9" ht="17.25" customHeight="1" thickBot="1">
      <c r="B25" s="10" t="s">
        <v>61</v>
      </c>
      <c r="C25" s="25">
        <v>0</v>
      </c>
      <c r="D25" s="25">
        <v>0</v>
      </c>
      <c r="E25" s="25">
        <f>D25-C25</f>
        <v>0</v>
      </c>
      <c r="F25" s="25">
        <f>C25</f>
        <v>0</v>
      </c>
      <c r="G25" s="25">
        <f>C25-F25</f>
        <v>0</v>
      </c>
      <c r="H25" s="62"/>
      <c r="I25" s="62"/>
    </row>
    <row r="26" spans="2:9" ht="25.5" customHeight="1" thickBot="1">
      <c r="B26" s="10" t="s">
        <v>13</v>
      </c>
      <c r="C26" s="25">
        <f>'[20]Sheet1'!$N$26</f>
        <v>171086</v>
      </c>
      <c r="D26" s="25">
        <f>'[20]Sheet1'!$R$26</f>
        <v>160890</v>
      </c>
      <c r="E26" s="25">
        <f>D26-C26</f>
        <v>-10196</v>
      </c>
      <c r="F26" s="25">
        <f>'[20]Sheet1'!$T$26</f>
        <v>171086</v>
      </c>
      <c r="G26" s="25">
        <f>C26-F26</f>
        <v>0</v>
      </c>
      <c r="H26" s="62"/>
      <c r="I26" s="62"/>
    </row>
    <row r="27" spans="2:9" ht="25.5" customHeight="1" thickBot="1">
      <c r="B27" s="10" t="s">
        <v>14</v>
      </c>
      <c r="C27" s="25">
        <f>'[20]Sheet1'!$N$41+'[20]Sheet1'!$N$42</f>
        <v>28241</v>
      </c>
      <c r="D27" s="25">
        <f>'[20]Sheet1'!$R$41+'[20]Sheet1'!$R$42</f>
        <v>26558</v>
      </c>
      <c r="E27" s="25">
        <f>D27-C27</f>
        <v>-1683</v>
      </c>
      <c r="F27" s="25">
        <f>'[20]Sheet1'!$T$41+'[20]Sheet1'!$T$42</f>
        <v>28241</v>
      </c>
      <c r="G27" s="25">
        <f>C27-F27</f>
        <v>0</v>
      </c>
      <c r="H27" s="62"/>
      <c r="I27" s="62"/>
    </row>
    <row r="28" spans="2:9" ht="13.5" thickBot="1">
      <c r="B28" s="6" t="s">
        <v>7</v>
      </c>
      <c r="C28" s="26">
        <f>SUM(C19:C27)</f>
        <v>349485</v>
      </c>
      <c r="D28" s="26">
        <f>SUM(D19:D27)</f>
        <v>328658</v>
      </c>
      <c r="E28" s="26">
        <f>SUM(E19:E27)</f>
        <v>-20827</v>
      </c>
      <c r="F28" s="26">
        <f>SUM(F19:F27)</f>
        <v>353622</v>
      </c>
      <c r="G28" s="26">
        <f>SUM(G19:G27)</f>
        <v>-4137</v>
      </c>
      <c r="H28" s="62"/>
      <c r="I28" s="62"/>
    </row>
    <row r="29" spans="2:9" ht="13.5" thickBot="1">
      <c r="B29" s="7" t="s">
        <v>15</v>
      </c>
      <c r="C29" s="26">
        <f>C17+C28</f>
        <v>621951</v>
      </c>
      <c r="D29" s="26">
        <f>D17+D28</f>
        <v>584887</v>
      </c>
      <c r="E29" s="26">
        <f>E17+E28</f>
        <v>-37064</v>
      </c>
      <c r="F29" s="26">
        <f>F17+F28</f>
        <v>626088</v>
      </c>
      <c r="G29" s="26">
        <f>G17+G28</f>
        <v>-4137</v>
      </c>
      <c r="H29" s="62"/>
      <c r="I29" s="62"/>
    </row>
    <row r="30" spans="2:9" ht="12.75">
      <c r="B30" s="11"/>
      <c r="C30" s="62"/>
      <c r="D30" s="62"/>
      <c r="E30" s="62"/>
      <c r="F30" s="62"/>
      <c r="G30" s="62"/>
      <c r="H30" s="62"/>
      <c r="I30" s="62"/>
    </row>
    <row r="31" spans="2:9" ht="13.5" thickBot="1">
      <c r="B31" s="18" t="s">
        <v>47</v>
      </c>
      <c r="C31" s="62"/>
      <c r="D31" s="62"/>
      <c r="E31" s="62"/>
      <c r="F31" s="62"/>
      <c r="G31" s="62"/>
      <c r="H31" s="62"/>
      <c r="I31" s="62"/>
    </row>
    <row r="32" spans="2:9" ht="105" customHeight="1" thickBot="1">
      <c r="B32" s="22" t="s">
        <v>3</v>
      </c>
      <c r="C32" s="22" t="s">
        <v>28</v>
      </c>
      <c r="D32" s="23" t="s">
        <v>23</v>
      </c>
      <c r="E32" s="23" t="s">
        <v>31</v>
      </c>
      <c r="F32" s="22" t="s">
        <v>16</v>
      </c>
      <c r="G32" s="22" t="s">
        <v>29</v>
      </c>
      <c r="H32" s="62"/>
      <c r="I32" s="62"/>
    </row>
    <row r="33" spans="2:9" ht="13.5" customHeight="1" thickBot="1">
      <c r="B33" s="43">
        <v>1</v>
      </c>
      <c r="C33" s="44">
        <v>2</v>
      </c>
      <c r="D33" s="44">
        <v>3</v>
      </c>
      <c r="E33" s="44" t="s">
        <v>42</v>
      </c>
      <c r="F33" s="44">
        <v>5</v>
      </c>
      <c r="G33" s="45" t="s">
        <v>43</v>
      </c>
      <c r="H33" s="62"/>
      <c r="I33" s="62"/>
    </row>
    <row r="34" spans="2:9" ht="38.25" customHeight="1" thickBot="1">
      <c r="B34" s="10" t="s">
        <v>17</v>
      </c>
      <c r="C34" s="28">
        <f>'[20]Sheet1'!$N$12</f>
        <v>431994</v>
      </c>
      <c r="D34" s="28">
        <f>'[20]Sheet1'!$R$12</f>
        <v>406251</v>
      </c>
      <c r="E34" s="28">
        <f>D34-C34</f>
        <v>-25743</v>
      </c>
      <c r="F34" s="28">
        <f>'[20]Sheet1'!$U$12-123397</f>
        <v>162027</v>
      </c>
      <c r="G34" s="28">
        <f>C34-F34</f>
        <v>269967</v>
      </c>
      <c r="H34" s="65"/>
      <c r="I34" s="62"/>
    </row>
    <row r="35" spans="2:9" ht="13.5" thickBot="1">
      <c r="B35" s="6" t="s">
        <v>18</v>
      </c>
      <c r="C35" s="29">
        <f>C34</f>
        <v>431994</v>
      </c>
      <c r="D35" s="29">
        <f>D34</f>
        <v>406251</v>
      </c>
      <c r="E35" s="29">
        <f>E34</f>
        <v>-25743</v>
      </c>
      <c r="F35" s="29">
        <f>F34</f>
        <v>162027</v>
      </c>
      <c r="G35" s="29">
        <f>G34</f>
        <v>269967</v>
      </c>
      <c r="H35" s="62"/>
      <c r="I35" s="62"/>
    </row>
    <row r="36" spans="2:9" ht="12.75">
      <c r="B36" s="13"/>
      <c r="C36" s="62"/>
      <c r="D36" s="62"/>
      <c r="E36" s="62"/>
      <c r="F36" s="62"/>
      <c r="G36" s="62"/>
      <c r="H36" s="62"/>
      <c r="I36" s="62"/>
    </row>
    <row r="37" spans="2:9" ht="13.5" thickBot="1">
      <c r="B37" s="18" t="s">
        <v>30</v>
      </c>
      <c r="C37" s="62"/>
      <c r="D37" s="62"/>
      <c r="E37" s="62"/>
      <c r="F37" s="62"/>
      <c r="G37" s="62"/>
      <c r="H37" s="62"/>
      <c r="I37" s="62"/>
    </row>
    <row r="38" spans="2:9" ht="103.5" customHeight="1" thickBot="1">
      <c r="B38" s="22" t="s">
        <v>3</v>
      </c>
      <c r="C38" s="5" t="s">
        <v>25</v>
      </c>
      <c r="D38" s="8" t="s">
        <v>26</v>
      </c>
      <c r="E38" s="23" t="s">
        <v>31</v>
      </c>
      <c r="F38" s="5" t="s">
        <v>27</v>
      </c>
      <c r="G38" s="22" t="s">
        <v>29</v>
      </c>
      <c r="H38" s="62"/>
      <c r="I38" s="62"/>
    </row>
    <row r="39" spans="2:9" ht="13.5" customHeight="1" thickBot="1">
      <c r="B39" s="43">
        <v>1</v>
      </c>
      <c r="C39" s="44">
        <v>2</v>
      </c>
      <c r="D39" s="44">
        <v>3</v>
      </c>
      <c r="E39" s="44" t="s">
        <v>42</v>
      </c>
      <c r="F39" s="44">
        <v>5</v>
      </c>
      <c r="G39" s="45" t="s">
        <v>43</v>
      </c>
      <c r="H39" s="62"/>
      <c r="I39" s="62"/>
    </row>
    <row r="40" spans="2:9" ht="16.5" customHeight="1">
      <c r="B40" s="54" t="s">
        <v>69</v>
      </c>
      <c r="C40" s="50">
        <f>'[20]Sheet1'!$N$33</f>
        <v>703433</v>
      </c>
      <c r="D40" s="50">
        <f>'[20]Sheet1'!$R$33</f>
        <v>661514</v>
      </c>
      <c r="E40" s="50">
        <f>D40-C40</f>
        <v>-41919</v>
      </c>
      <c r="F40" s="50">
        <f>'[20]Sheet1'!$T$33</f>
        <v>945051</v>
      </c>
      <c r="G40" s="50">
        <f>C40-F40</f>
        <v>-241618</v>
      </c>
      <c r="H40" s="62"/>
      <c r="I40" s="62"/>
    </row>
    <row r="41" spans="2:9" ht="24" customHeight="1" thickBot="1">
      <c r="B41" s="55"/>
      <c r="C41" s="51"/>
      <c r="D41" s="51"/>
      <c r="E41" s="51"/>
      <c r="F41" s="51"/>
      <c r="G41" s="51"/>
      <c r="H41" s="62"/>
      <c r="I41" s="62"/>
    </row>
    <row r="42" spans="2:9" ht="17.25" customHeight="1">
      <c r="B42" s="54" t="s">
        <v>44</v>
      </c>
      <c r="C42" s="50">
        <f>2088742.6-234357.69</f>
        <v>1854384.9100000001</v>
      </c>
      <c r="D42" s="50">
        <v>1826552.5</v>
      </c>
      <c r="E42" s="50">
        <f>D42-C42</f>
        <v>-27832.41000000015</v>
      </c>
      <c r="F42" s="50">
        <f>'[20]Sheet1'!$T$36</f>
        <v>1892612</v>
      </c>
      <c r="G42" s="50">
        <f>C42-F42</f>
        <v>-38227.08999999985</v>
      </c>
      <c r="H42" s="62"/>
      <c r="I42" s="62"/>
    </row>
    <row r="43" spans="2:9" ht="13.5" thickBot="1">
      <c r="B43" s="55"/>
      <c r="C43" s="51"/>
      <c r="D43" s="51"/>
      <c r="E43" s="51"/>
      <c r="F43" s="51"/>
      <c r="G43" s="51"/>
      <c r="H43" s="62"/>
      <c r="I43" s="62"/>
    </row>
    <row r="44" spans="2:9" ht="13.5" thickBot="1">
      <c r="B44" s="7" t="s">
        <v>19</v>
      </c>
      <c r="C44" s="29">
        <f>C40+C42</f>
        <v>2557817.91</v>
      </c>
      <c r="D44" s="29">
        <f>D40+D42</f>
        <v>2488066.5</v>
      </c>
      <c r="E44" s="29">
        <f>E40+E42</f>
        <v>-69751.41000000015</v>
      </c>
      <c r="F44" s="29">
        <f>F40+F42</f>
        <v>2837663</v>
      </c>
      <c r="G44" s="29">
        <f>G40+G42</f>
        <v>-279845.08999999985</v>
      </c>
      <c r="H44" s="62"/>
      <c r="I44" s="62"/>
    </row>
    <row r="45" spans="2:9" ht="12.75">
      <c r="B45" s="11"/>
      <c r="C45" s="62"/>
      <c r="D45" s="62"/>
      <c r="E45" s="62"/>
      <c r="F45" s="62"/>
      <c r="G45" s="62"/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20" t="s">
        <v>62</v>
      </c>
      <c r="C47" s="62"/>
      <c r="D47" s="62"/>
      <c r="E47" s="62"/>
      <c r="F47" s="62"/>
      <c r="G47" s="31">
        <f>F49+F50</f>
        <v>-132558.41000000015</v>
      </c>
      <c r="H47" s="62"/>
      <c r="I47" s="62"/>
    </row>
    <row r="48" spans="2:9" ht="12.75">
      <c r="B48" s="30" t="s">
        <v>32</v>
      </c>
      <c r="C48" s="65"/>
      <c r="D48" s="62"/>
      <c r="E48" s="62"/>
      <c r="F48" s="62"/>
      <c r="G48" s="62"/>
      <c r="H48" s="62"/>
      <c r="I48" s="62"/>
    </row>
    <row r="49" spans="2:9" ht="12.75">
      <c r="B49" s="38" t="s">
        <v>63</v>
      </c>
      <c r="C49" s="62"/>
      <c r="D49" s="62"/>
      <c r="E49" s="62"/>
      <c r="F49" s="32">
        <f>(E29+E35)</f>
        <v>-62807</v>
      </c>
      <c r="G49" s="62"/>
      <c r="H49" s="62"/>
      <c r="I49" s="62"/>
    </row>
    <row r="50" spans="2:9" ht="12.75">
      <c r="B50" s="38" t="s">
        <v>64</v>
      </c>
      <c r="C50" s="62"/>
      <c r="D50" s="62"/>
      <c r="E50" s="62"/>
      <c r="F50" s="32">
        <f>(E44)</f>
        <v>-69751.41000000015</v>
      </c>
      <c r="G50" s="62"/>
      <c r="H50" s="62"/>
      <c r="I50" s="62"/>
    </row>
    <row r="51" spans="2:9" ht="12.75">
      <c r="B51" s="38"/>
      <c r="C51" s="62"/>
      <c r="D51" s="62"/>
      <c r="E51" s="62"/>
      <c r="F51" s="32"/>
      <c r="G51" s="62"/>
      <c r="H51" s="62"/>
      <c r="I51" s="62"/>
    </row>
    <row r="52" spans="2:9" s="33" customFormat="1" ht="12.75">
      <c r="B52" s="34" t="s">
        <v>87</v>
      </c>
      <c r="C52" s="66"/>
      <c r="D52" s="66"/>
      <c r="E52" s="67"/>
      <c r="F52" s="37"/>
      <c r="G52" s="31">
        <f>F54+F55</f>
        <v>-279845.08999999985</v>
      </c>
      <c r="H52" s="66"/>
      <c r="I52" s="66"/>
    </row>
    <row r="53" spans="2:9" s="33" customFormat="1" ht="12.75">
      <c r="B53" s="30" t="s">
        <v>32</v>
      </c>
      <c r="C53" s="66"/>
      <c r="D53" s="66"/>
      <c r="E53" s="67"/>
      <c r="F53" s="37"/>
      <c r="G53" s="41"/>
      <c r="H53" s="66"/>
      <c r="I53" s="66"/>
    </row>
    <row r="54" spans="2:9" s="33" customFormat="1" ht="12.75">
      <c r="B54" s="38" t="s">
        <v>36</v>
      </c>
      <c r="C54" s="66"/>
      <c r="D54" s="66"/>
      <c r="E54" s="67"/>
      <c r="F54" s="32">
        <f>IF((G29+G35)&lt;=0,G29+G35,0)</f>
        <v>0</v>
      </c>
      <c r="G54" s="41"/>
      <c r="H54" s="66"/>
      <c r="I54" s="66"/>
    </row>
    <row r="55" spans="2:9" s="33" customFormat="1" ht="12.75">
      <c r="B55" s="38" t="s">
        <v>37</v>
      </c>
      <c r="C55" s="66"/>
      <c r="D55" s="66"/>
      <c r="E55" s="67"/>
      <c r="F55" s="32">
        <f>IF(G44&lt;=0,G44,0)</f>
        <v>-279845.08999999985</v>
      </c>
      <c r="G55" s="41"/>
      <c r="H55" s="66"/>
      <c r="I55" s="66"/>
    </row>
    <row r="56" spans="2:9" s="33" customFormat="1" ht="12.75">
      <c r="B56" s="38"/>
      <c r="C56" s="66"/>
      <c r="D56" s="66"/>
      <c r="E56" s="67"/>
      <c r="F56" s="37"/>
      <c r="G56" s="41"/>
      <c r="H56" s="66"/>
      <c r="I56" s="66"/>
    </row>
    <row r="57" spans="2:9" s="33" customFormat="1" ht="12.75">
      <c r="B57" s="34" t="s">
        <v>65</v>
      </c>
      <c r="C57" s="66"/>
      <c r="D57" s="66"/>
      <c r="E57" s="67"/>
      <c r="F57" s="37"/>
      <c r="G57" s="31">
        <f>F59+F60</f>
        <v>265830</v>
      </c>
      <c r="H57" s="66"/>
      <c r="I57" s="66"/>
    </row>
    <row r="58" spans="2:9" ht="12.75">
      <c r="B58" s="30" t="s">
        <v>32</v>
      </c>
      <c r="C58" s="62"/>
      <c r="D58" s="62"/>
      <c r="E58" s="62"/>
      <c r="F58" s="11"/>
      <c r="G58" s="41"/>
      <c r="H58" s="62"/>
      <c r="I58" s="62"/>
    </row>
    <row r="59" spans="2:9" ht="12.75">
      <c r="B59" s="38" t="s">
        <v>36</v>
      </c>
      <c r="C59" s="62"/>
      <c r="D59" s="62"/>
      <c r="E59" s="62"/>
      <c r="F59" s="32">
        <f>IF((G29+G35)&gt;0,G29+G35,0)</f>
        <v>265830</v>
      </c>
      <c r="G59" s="62"/>
      <c r="H59" s="62"/>
      <c r="I59" s="62"/>
    </row>
    <row r="60" spans="2:9" ht="12.75">
      <c r="B60" s="38" t="s">
        <v>37</v>
      </c>
      <c r="C60" s="62"/>
      <c r="D60" s="62"/>
      <c r="E60" s="62"/>
      <c r="F60" s="32">
        <f>IF(G44&gt;0,G44,0)</f>
        <v>0</v>
      </c>
      <c r="G60" s="62"/>
      <c r="H60" s="62"/>
      <c r="I60" s="62"/>
    </row>
    <row r="61" spans="2:9" ht="12.75">
      <c r="B61" s="38"/>
      <c r="C61" s="62"/>
      <c r="D61" s="62"/>
      <c r="E61" s="62"/>
      <c r="F61" s="32"/>
      <c r="G61" s="62"/>
      <c r="H61" s="62"/>
      <c r="I61" s="62"/>
    </row>
    <row r="62" spans="2:9" ht="12.75">
      <c r="B62" s="49" t="s">
        <v>57</v>
      </c>
      <c r="C62" s="19"/>
      <c r="D62" s="19"/>
      <c r="E62" s="19"/>
      <c r="F62" s="11"/>
      <c r="G62" s="19"/>
      <c r="H62" s="19"/>
      <c r="I62" s="19"/>
    </row>
    <row r="63" spans="2:9" ht="12.75">
      <c r="B63" s="11" t="s">
        <v>58</v>
      </c>
      <c r="C63" s="19"/>
      <c r="D63" s="19"/>
      <c r="E63" s="48"/>
      <c r="F63" s="37"/>
      <c r="G63" s="31">
        <f>1220.87+400+700</f>
        <v>2320.87</v>
      </c>
      <c r="H63" s="19"/>
      <c r="I63" s="19"/>
    </row>
    <row r="64" spans="2:9" ht="12.75">
      <c r="B64" s="18"/>
      <c r="C64" s="19"/>
      <c r="D64" s="19"/>
      <c r="E64" s="19"/>
      <c r="F64" s="19"/>
      <c r="G64" s="19"/>
      <c r="H64" s="19"/>
      <c r="I64" s="19"/>
    </row>
    <row r="65" spans="2:9" ht="12.75">
      <c r="B65" s="38"/>
      <c r="C65" s="19"/>
      <c r="D65" s="19"/>
      <c r="E65" s="19"/>
      <c r="F65" s="32"/>
      <c r="G65" s="19"/>
      <c r="H65" s="19"/>
      <c r="I65" s="19"/>
    </row>
    <row r="66" spans="2:9" ht="15.75">
      <c r="B66" s="39" t="s">
        <v>49</v>
      </c>
      <c r="C66" s="19"/>
      <c r="D66" s="19"/>
      <c r="E66" s="19"/>
      <c r="F66" s="40">
        <f>G52+G57+G63</f>
        <v>-11694.219999999852</v>
      </c>
      <c r="G66" s="40" t="s">
        <v>40</v>
      </c>
      <c r="H66" s="19"/>
      <c r="I66" s="19"/>
    </row>
    <row r="67" spans="2:9" ht="12.75">
      <c r="B67" s="24" t="s">
        <v>38</v>
      </c>
      <c r="C67" s="19"/>
      <c r="D67" s="19"/>
      <c r="E67" s="19"/>
      <c r="F67" s="32"/>
      <c r="G67" s="19"/>
      <c r="H67" s="19"/>
      <c r="I67" s="19"/>
    </row>
    <row r="68" spans="2:9" ht="12.75">
      <c r="B68" s="24" t="s">
        <v>39</v>
      </c>
      <c r="C68" s="19"/>
      <c r="D68" s="19"/>
      <c r="E68" s="19"/>
      <c r="F68" s="32"/>
      <c r="G68" s="19"/>
      <c r="H68" s="19"/>
      <c r="I68" s="19"/>
    </row>
    <row r="69" spans="2:9" ht="12.75">
      <c r="B69" s="38"/>
      <c r="C69" s="19"/>
      <c r="D69" s="19"/>
      <c r="E69" s="19"/>
      <c r="F69" s="32"/>
      <c r="G69" s="19"/>
      <c r="H69" s="19"/>
      <c r="I69" s="19"/>
    </row>
    <row r="70" spans="2:9" ht="15.75">
      <c r="B70" s="39" t="s">
        <v>50</v>
      </c>
      <c r="C70" s="19"/>
      <c r="D70" s="19"/>
      <c r="E70" s="19"/>
      <c r="F70" s="40">
        <f>G47</f>
        <v>-132558.41000000015</v>
      </c>
      <c r="G70" s="40" t="s">
        <v>40</v>
      </c>
      <c r="H70" s="19"/>
      <c r="I70" s="19"/>
    </row>
    <row r="71" spans="2:9" ht="12.75">
      <c r="B71" s="24" t="s">
        <v>52</v>
      </c>
      <c r="C71" s="19"/>
      <c r="D71" s="19"/>
      <c r="E71" s="19"/>
      <c r="F71" s="32"/>
      <c r="G71" s="19"/>
      <c r="H71" s="19"/>
      <c r="I71" s="19"/>
    </row>
    <row r="72" spans="2:9" ht="12.75">
      <c r="B72" s="24" t="s">
        <v>53</v>
      </c>
      <c r="C72" s="19"/>
      <c r="D72" s="19"/>
      <c r="E72" s="19"/>
      <c r="F72" s="32"/>
      <c r="G72" s="19"/>
      <c r="H72" s="19"/>
      <c r="I72" s="19"/>
    </row>
    <row r="73" spans="2:9" ht="12.75">
      <c r="B73" s="13"/>
      <c r="C73" s="19"/>
      <c r="D73" s="19"/>
      <c r="E73" s="19"/>
      <c r="F73" s="19"/>
      <c r="G73" s="19"/>
      <c r="H73" s="19"/>
      <c r="I73" s="19"/>
    </row>
    <row r="74" spans="2:9" ht="15.75">
      <c r="B74" s="39" t="s">
        <v>56</v>
      </c>
      <c r="C74" s="19"/>
      <c r="D74" s="19"/>
      <c r="E74" s="19"/>
      <c r="F74" s="40">
        <f>D5+F66</f>
        <v>167940.16000000015</v>
      </c>
      <c r="G74" s="40" t="s">
        <v>40</v>
      </c>
      <c r="H74" s="19"/>
      <c r="I74" s="19"/>
    </row>
    <row r="75" spans="2:9" ht="12.75">
      <c r="B75" s="24" t="s">
        <v>38</v>
      </c>
      <c r="C75" s="19"/>
      <c r="D75" s="19"/>
      <c r="E75" s="19"/>
      <c r="F75" s="32"/>
      <c r="G75" s="19"/>
      <c r="H75" s="19"/>
      <c r="I75" s="19"/>
    </row>
    <row r="76" spans="2:9" ht="12.75">
      <c r="B76" s="24" t="s">
        <v>39</v>
      </c>
      <c r="C76" s="19"/>
      <c r="D76" s="19"/>
      <c r="E76" s="19"/>
      <c r="F76" s="32"/>
      <c r="G76" s="19"/>
      <c r="H76" s="19"/>
      <c r="I76" s="19"/>
    </row>
    <row r="77" spans="2:9" ht="12.75">
      <c r="B77" s="38"/>
      <c r="C77" s="19"/>
      <c r="D77" s="19"/>
      <c r="E77" s="19"/>
      <c r="F77" s="32"/>
      <c r="G77" s="19"/>
      <c r="H77" s="19"/>
      <c r="I77" s="19"/>
    </row>
    <row r="78" spans="2:9" ht="15.75">
      <c r="B78" s="39" t="s">
        <v>51</v>
      </c>
      <c r="C78" s="19"/>
      <c r="D78" s="19"/>
      <c r="E78" s="19"/>
      <c r="F78" s="40">
        <f>-281434.66-850661.18</f>
        <v>-1132095.84</v>
      </c>
      <c r="G78" s="40" t="s">
        <v>40</v>
      </c>
      <c r="H78" s="19"/>
      <c r="I78" s="19"/>
    </row>
    <row r="79" spans="2:9" ht="12.75">
      <c r="B79" s="24" t="s">
        <v>52</v>
      </c>
      <c r="C79" s="19"/>
      <c r="D79" s="19"/>
      <c r="E79" s="19"/>
      <c r="F79" s="32"/>
      <c r="G79" s="19"/>
      <c r="H79" s="19"/>
      <c r="I79" s="19"/>
    </row>
    <row r="80" spans="2:9" ht="12.75">
      <c r="B80" s="24" t="s">
        <v>53</v>
      </c>
      <c r="C80" s="19"/>
      <c r="D80" s="19"/>
      <c r="E80" s="19"/>
      <c r="F80" s="32"/>
      <c r="G80" s="19"/>
      <c r="H80" s="19"/>
      <c r="I80" s="19"/>
    </row>
    <row r="81" spans="2:9" ht="12.75">
      <c r="B81" s="11"/>
      <c r="C81" s="62"/>
      <c r="D81" s="62"/>
      <c r="E81" s="62"/>
      <c r="F81" s="62"/>
      <c r="G81" s="62"/>
      <c r="H81" s="62"/>
      <c r="I81" s="62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B42:B43"/>
    <mergeCell ref="B13:G13"/>
    <mergeCell ref="B18:G18"/>
    <mergeCell ref="E40:E41"/>
    <mergeCell ref="C14:C16"/>
    <mergeCell ref="D14:D16"/>
    <mergeCell ref="E14:E16"/>
    <mergeCell ref="F14:F16"/>
    <mergeCell ref="B40:B41"/>
    <mergeCell ref="G40:G41"/>
    <mergeCell ref="G42:G43"/>
    <mergeCell ref="F40:F41"/>
    <mergeCell ref="G14:G16"/>
    <mergeCell ref="C42:C43"/>
    <mergeCell ref="D42:D43"/>
    <mergeCell ref="F42:F43"/>
    <mergeCell ref="C40:C41"/>
    <mergeCell ref="D40:D41"/>
    <mergeCell ref="E42:E43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40">
      <selection activeCell="C46" sqref="C46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95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544927.3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'[21]Sheet1'!$N$15</f>
        <v>213500</v>
      </c>
      <c r="D15" s="50">
        <f>'[21]Sheet1'!$R$15</f>
        <v>200004</v>
      </c>
      <c r="E15" s="50">
        <f>D15-C15</f>
        <v>-13496</v>
      </c>
      <c r="F15" s="50">
        <f>'[21]Sheet1'!$T$15</f>
        <v>213500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213500</v>
      </c>
      <c r="D18" s="26">
        <f>D15</f>
        <v>200004</v>
      </c>
      <c r="E18" s="26">
        <f>E15</f>
        <v>-13496</v>
      </c>
      <c r="F18" s="26">
        <f>F15</f>
        <v>213500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'[21]Sheet1'!$N$18</f>
        <v>96224</v>
      </c>
      <c r="D21" s="25">
        <f>'[21]Sheet1'!$R$18</f>
        <v>90142</v>
      </c>
      <c r="E21" s="25">
        <f>D21-C21</f>
        <v>-6082</v>
      </c>
      <c r="F21" s="25">
        <f>'[21]Sheet1'!$T$18</f>
        <v>96224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'[21]Sheet1'!$N$19</f>
        <v>8864</v>
      </c>
      <c r="D22" s="25">
        <f>'[21]Sheet1'!$R$19</f>
        <v>8303</v>
      </c>
      <c r="E22" s="25">
        <f>D22-C22</f>
        <v>-561</v>
      </c>
      <c r="F22" s="25">
        <f>'[21]Sheet1'!$T$19</f>
        <v>8864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'[21]Sheet1'!$N$20</f>
        <v>19881</v>
      </c>
      <c r="D23" s="25">
        <f>'[21]Sheet1'!$R$20</f>
        <v>18624</v>
      </c>
      <c r="E23" s="25">
        <f>D23-C23</f>
        <v>-1257</v>
      </c>
      <c r="F23" s="25">
        <f>'[21]Sheet1'!$T$20</f>
        <v>19881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'[21]Sheet1'!$K$22</f>
        <v>30915</v>
      </c>
      <c r="D24" s="25">
        <f>'[21]Sheet1'!$R$22</f>
        <v>28961</v>
      </c>
      <c r="E24" s="25">
        <f>D24-C24</f>
        <v>-1954</v>
      </c>
      <c r="F24" s="25">
        <f>'[21]Sheet1'!$T$22</f>
        <v>30879</v>
      </c>
      <c r="G24" s="25">
        <f>C24-F24</f>
        <v>36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f>C26</f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'[21]Sheet1'!$N$26</f>
        <v>177262</v>
      </c>
      <c r="D27" s="25">
        <f>'[21]Sheet1'!$R$26</f>
        <v>166057</v>
      </c>
      <c r="E27" s="25">
        <f>D27-C27</f>
        <v>-11205</v>
      </c>
      <c r="F27" s="25">
        <f>'[21]Sheet1'!$T$26</f>
        <v>177262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'[21]Sheet1'!$N$41+'[21]Sheet1'!$N$42</f>
        <v>29488</v>
      </c>
      <c r="D28" s="25">
        <f>'[21]Sheet1'!$R$41+'[21]Sheet1'!$R$42</f>
        <v>27624</v>
      </c>
      <c r="E28" s="25">
        <f>D28-C28</f>
        <v>-1864</v>
      </c>
      <c r="F28" s="25">
        <f>'[21]Sheet1'!$T$41+'[21]Sheet1'!$T$42</f>
        <v>29488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362634</v>
      </c>
      <c r="D29" s="26">
        <f>SUM(D20:D28)</f>
        <v>339711</v>
      </c>
      <c r="E29" s="26">
        <f>SUM(E20:E28)</f>
        <v>-22923</v>
      </c>
      <c r="F29" s="26">
        <f>SUM(F20:F28)</f>
        <v>362598</v>
      </c>
      <c r="G29" s="26">
        <f>SUM(G20:G28)</f>
        <v>36</v>
      </c>
      <c r="H29" s="62"/>
      <c r="I29" s="62"/>
    </row>
    <row r="30" spans="2:9" ht="13.5" thickBot="1">
      <c r="B30" s="7" t="s">
        <v>15</v>
      </c>
      <c r="C30" s="26">
        <f>C18+C29</f>
        <v>576134</v>
      </c>
      <c r="D30" s="26">
        <f>D18+D29</f>
        <v>539715</v>
      </c>
      <c r="E30" s="26">
        <f>E18+E29</f>
        <v>-36419</v>
      </c>
      <c r="F30" s="26">
        <f>F18+F29</f>
        <v>576098</v>
      </c>
      <c r="G30" s="26">
        <f>G18+G29</f>
        <v>36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2.75">
      <c r="B32" s="11"/>
      <c r="C32" s="62"/>
      <c r="D32" s="62"/>
      <c r="E32" s="62"/>
      <c r="F32" s="62"/>
      <c r="G32" s="62"/>
      <c r="H32" s="62"/>
      <c r="I32" s="62"/>
    </row>
    <row r="33" spans="2:9" ht="13.5" thickBot="1">
      <c r="B33" s="18" t="s">
        <v>47</v>
      </c>
      <c r="C33" s="62"/>
      <c r="D33" s="62"/>
      <c r="E33" s="62"/>
      <c r="F33" s="62"/>
      <c r="G33" s="62"/>
      <c r="H33" s="62"/>
      <c r="I33" s="62"/>
    </row>
    <row r="34" spans="2:9" ht="105" customHeight="1" thickBot="1">
      <c r="B34" s="22" t="s">
        <v>3</v>
      </c>
      <c r="C34" s="22" t="s">
        <v>28</v>
      </c>
      <c r="D34" s="23" t="s">
        <v>23</v>
      </c>
      <c r="E34" s="23" t="s">
        <v>31</v>
      </c>
      <c r="F34" s="22" t="s">
        <v>16</v>
      </c>
      <c r="G34" s="22" t="s">
        <v>29</v>
      </c>
      <c r="H34" s="62"/>
      <c r="I34" s="62"/>
    </row>
    <row r="35" spans="2:9" ht="13.5" customHeight="1" thickBot="1">
      <c r="B35" s="43">
        <v>1</v>
      </c>
      <c r="C35" s="44">
        <v>2</v>
      </c>
      <c r="D35" s="44">
        <v>3</v>
      </c>
      <c r="E35" s="44" t="s">
        <v>42</v>
      </c>
      <c r="F35" s="44">
        <v>5</v>
      </c>
      <c r="G35" s="45" t="s">
        <v>43</v>
      </c>
      <c r="H35" s="62"/>
      <c r="I35" s="62"/>
    </row>
    <row r="36" spans="2:9" ht="38.25" customHeight="1" thickBot="1">
      <c r="B36" s="10" t="s">
        <v>17</v>
      </c>
      <c r="C36" s="28">
        <f>'[21]Sheet1'!$N$12</f>
        <v>433336</v>
      </c>
      <c r="D36" s="28">
        <f>'[21]Sheet1'!$R$12</f>
        <v>405945</v>
      </c>
      <c r="E36" s="28">
        <f>D36-C36</f>
        <v>-27391</v>
      </c>
      <c r="F36" s="28">
        <f>'[21]Sheet1'!$U$12</f>
        <v>173900</v>
      </c>
      <c r="G36" s="28">
        <f>C36-F36</f>
        <v>259436</v>
      </c>
      <c r="H36" s="65"/>
      <c r="I36" s="62"/>
    </row>
    <row r="37" spans="2:9" ht="13.5" thickBot="1">
      <c r="B37" s="6" t="s">
        <v>18</v>
      </c>
      <c r="C37" s="29">
        <f>C36</f>
        <v>433336</v>
      </c>
      <c r="D37" s="29">
        <f>D36</f>
        <v>405945</v>
      </c>
      <c r="E37" s="29">
        <f>E36</f>
        <v>-27391</v>
      </c>
      <c r="F37" s="29">
        <f>F36</f>
        <v>173900</v>
      </c>
      <c r="G37" s="29">
        <f>G36</f>
        <v>259436</v>
      </c>
      <c r="H37" s="62"/>
      <c r="I37" s="62"/>
    </row>
    <row r="38" spans="2:9" ht="12.75">
      <c r="B38" s="13"/>
      <c r="C38" s="62"/>
      <c r="D38" s="62"/>
      <c r="E38" s="62"/>
      <c r="F38" s="62"/>
      <c r="G38" s="62"/>
      <c r="H38" s="62"/>
      <c r="I38" s="62"/>
    </row>
    <row r="39" spans="2:9" ht="13.5" thickBot="1">
      <c r="B39" s="18" t="s">
        <v>30</v>
      </c>
      <c r="C39" s="62"/>
      <c r="D39" s="62"/>
      <c r="E39" s="62"/>
      <c r="F39" s="62"/>
      <c r="G39" s="62"/>
      <c r="H39" s="62"/>
      <c r="I39" s="62"/>
    </row>
    <row r="40" spans="2:9" ht="103.5" customHeight="1" thickBot="1">
      <c r="B40" s="22" t="s">
        <v>3</v>
      </c>
      <c r="C40" s="5" t="s">
        <v>25</v>
      </c>
      <c r="D40" s="8" t="s">
        <v>26</v>
      </c>
      <c r="E40" s="23" t="s">
        <v>31</v>
      </c>
      <c r="F40" s="5" t="s">
        <v>27</v>
      </c>
      <c r="G40" s="22" t="s">
        <v>29</v>
      </c>
      <c r="H40" s="62"/>
      <c r="I40" s="62"/>
    </row>
    <row r="41" spans="2:9" ht="13.5" customHeight="1" thickBot="1">
      <c r="B41" s="43">
        <v>1</v>
      </c>
      <c r="C41" s="44">
        <v>2</v>
      </c>
      <c r="D41" s="44">
        <v>3</v>
      </c>
      <c r="E41" s="44" t="s">
        <v>42</v>
      </c>
      <c r="F41" s="44">
        <v>5</v>
      </c>
      <c r="G41" s="45" t="s">
        <v>43</v>
      </c>
      <c r="H41" s="62"/>
      <c r="I41" s="62"/>
    </row>
    <row r="42" spans="2:9" ht="16.5" customHeight="1">
      <c r="B42" s="54" t="s">
        <v>69</v>
      </c>
      <c r="C42" s="50">
        <f>'[21]Sheet1'!$N$33</f>
        <v>558964</v>
      </c>
      <c r="D42" s="50">
        <f>'[21]Sheet1'!$R$33</f>
        <v>523632</v>
      </c>
      <c r="E42" s="50">
        <f>D42-C42</f>
        <v>-35332</v>
      </c>
      <c r="F42" s="50">
        <f>'[21]Sheet1'!$T$33</f>
        <v>715300</v>
      </c>
      <c r="G42" s="50">
        <f>C42-F42</f>
        <v>-156336</v>
      </c>
      <c r="H42" s="62"/>
      <c r="I42" s="62"/>
    </row>
    <row r="43" spans="2:9" ht="24" customHeight="1" thickBot="1">
      <c r="B43" s="55"/>
      <c r="C43" s="51"/>
      <c r="D43" s="51"/>
      <c r="E43" s="51"/>
      <c r="F43" s="51"/>
      <c r="G43" s="51"/>
      <c r="H43" s="62"/>
      <c r="I43" s="62"/>
    </row>
    <row r="44" spans="2:9" ht="17.25" customHeight="1">
      <c r="B44" s="54" t="s">
        <v>44</v>
      </c>
      <c r="C44" s="50">
        <f>2116951.36-236841.03</f>
        <v>1880110.3299999998</v>
      </c>
      <c r="D44" s="50">
        <v>1832025.7</v>
      </c>
      <c r="E44" s="50">
        <f>D44-C44</f>
        <v>-48084.62999999989</v>
      </c>
      <c r="F44" s="50">
        <f>'[21]Sheet1'!$T$36</f>
        <v>1838393</v>
      </c>
      <c r="G44" s="50">
        <f>C44-F44</f>
        <v>41717.32999999984</v>
      </c>
      <c r="H44" s="62"/>
      <c r="I44" s="62"/>
    </row>
    <row r="45" spans="2:9" ht="13.5" thickBot="1">
      <c r="B45" s="55"/>
      <c r="C45" s="51"/>
      <c r="D45" s="51"/>
      <c r="E45" s="51"/>
      <c r="F45" s="51"/>
      <c r="G45" s="51"/>
      <c r="H45" s="62"/>
      <c r="I45" s="62"/>
    </row>
    <row r="46" spans="2:9" ht="13.5" thickBot="1">
      <c r="B46" s="7" t="s">
        <v>19</v>
      </c>
      <c r="C46" s="29">
        <f>C42+C44</f>
        <v>2439074.33</v>
      </c>
      <c r="D46" s="29">
        <f>D42+D44</f>
        <v>2355657.7</v>
      </c>
      <c r="E46" s="29">
        <f>E42+E44</f>
        <v>-83416.62999999989</v>
      </c>
      <c r="F46" s="29">
        <f>F42+F44</f>
        <v>2553693</v>
      </c>
      <c r="G46" s="29">
        <f>G42+G44</f>
        <v>-114618.67000000016</v>
      </c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11"/>
      <c r="C48" s="62"/>
      <c r="D48" s="62"/>
      <c r="E48" s="62"/>
      <c r="F48" s="62"/>
      <c r="G48" s="62"/>
      <c r="H48" s="62"/>
      <c r="I48" s="62"/>
    </row>
    <row r="49" spans="2:9" ht="12.75">
      <c r="B49" s="20" t="s">
        <v>62</v>
      </c>
      <c r="C49" s="62"/>
      <c r="D49" s="62"/>
      <c r="E49" s="62"/>
      <c r="F49" s="62"/>
      <c r="G49" s="31">
        <f>F51+F52</f>
        <v>-147226.6299999999</v>
      </c>
      <c r="H49" s="62"/>
      <c r="I49" s="62"/>
    </row>
    <row r="50" spans="2:9" ht="12.75">
      <c r="B50" s="30" t="s">
        <v>32</v>
      </c>
      <c r="C50" s="65"/>
      <c r="D50" s="62"/>
      <c r="E50" s="62"/>
      <c r="F50" s="62"/>
      <c r="G50" s="62"/>
      <c r="H50" s="62"/>
      <c r="I50" s="62"/>
    </row>
    <row r="51" spans="2:9" ht="12.75">
      <c r="B51" s="38" t="s">
        <v>63</v>
      </c>
      <c r="C51" s="62"/>
      <c r="D51" s="62"/>
      <c r="E51" s="62"/>
      <c r="F51" s="32">
        <f>(E30+E37)</f>
        <v>-63810</v>
      </c>
      <c r="G51" s="62"/>
      <c r="H51" s="62"/>
      <c r="I51" s="62"/>
    </row>
    <row r="52" spans="2:9" ht="15" customHeight="1">
      <c r="B52" s="38" t="s">
        <v>64</v>
      </c>
      <c r="C52" s="62"/>
      <c r="D52" s="62"/>
      <c r="E52" s="62"/>
      <c r="F52" s="32">
        <f>(E46)</f>
        <v>-83416.62999999989</v>
      </c>
      <c r="G52" s="62"/>
      <c r="H52" s="62"/>
      <c r="I52" s="62"/>
    </row>
    <row r="53" spans="2:9" ht="12.75">
      <c r="B53" s="38"/>
      <c r="C53" s="62"/>
      <c r="D53" s="62"/>
      <c r="E53" s="62"/>
      <c r="F53" s="32"/>
      <c r="G53" s="62"/>
      <c r="H53" s="62"/>
      <c r="I53" s="62"/>
    </row>
    <row r="54" spans="2:9" s="33" customFormat="1" ht="12.75">
      <c r="B54" s="34" t="s">
        <v>87</v>
      </c>
      <c r="C54" s="66"/>
      <c r="D54" s="66"/>
      <c r="E54" s="67"/>
      <c r="F54" s="37"/>
      <c r="G54" s="31">
        <f>F56+F57</f>
        <v>-114618.67000000016</v>
      </c>
      <c r="H54" s="66"/>
      <c r="I54" s="66"/>
    </row>
    <row r="55" spans="2:9" s="33" customFormat="1" ht="12.75">
      <c r="B55" s="30" t="s">
        <v>32</v>
      </c>
      <c r="C55" s="66"/>
      <c r="D55" s="66"/>
      <c r="E55" s="67"/>
      <c r="F55" s="37"/>
      <c r="G55" s="41"/>
      <c r="H55" s="66"/>
      <c r="I55" s="66"/>
    </row>
    <row r="56" spans="2:9" s="33" customFormat="1" ht="12.75">
      <c r="B56" s="38" t="s">
        <v>36</v>
      </c>
      <c r="C56" s="66"/>
      <c r="D56" s="66"/>
      <c r="E56" s="67"/>
      <c r="F56" s="32">
        <f>IF((G30+G37)&lt;=0,G30+G37,0)</f>
        <v>0</v>
      </c>
      <c r="G56" s="41"/>
      <c r="H56" s="66"/>
      <c r="I56" s="66"/>
    </row>
    <row r="57" spans="2:9" s="33" customFormat="1" ht="12.75">
      <c r="B57" s="38" t="s">
        <v>37</v>
      </c>
      <c r="C57" s="66"/>
      <c r="D57" s="66"/>
      <c r="E57" s="67"/>
      <c r="F57" s="32">
        <f>IF(G46&lt;=0,G46,0)</f>
        <v>-114618.67000000016</v>
      </c>
      <c r="G57" s="41"/>
      <c r="H57" s="66"/>
      <c r="I57" s="66"/>
    </row>
    <row r="58" spans="2:9" s="33" customFormat="1" ht="12.75">
      <c r="B58" s="38"/>
      <c r="C58" s="66"/>
      <c r="D58" s="66"/>
      <c r="E58" s="67"/>
      <c r="F58" s="37"/>
      <c r="G58" s="41"/>
      <c r="H58" s="66"/>
      <c r="I58" s="66"/>
    </row>
    <row r="59" spans="2:9" s="33" customFormat="1" ht="12.75">
      <c r="B59" s="34" t="s">
        <v>65</v>
      </c>
      <c r="C59" s="66"/>
      <c r="D59" s="66"/>
      <c r="E59" s="67"/>
      <c r="F59" s="37"/>
      <c r="G59" s="31">
        <f>F61+F62</f>
        <v>259472</v>
      </c>
      <c r="H59" s="66"/>
      <c r="I59" s="66"/>
    </row>
    <row r="60" spans="2:9" ht="12.75">
      <c r="B60" s="30" t="s">
        <v>32</v>
      </c>
      <c r="C60" s="62"/>
      <c r="D60" s="62"/>
      <c r="E60" s="62"/>
      <c r="F60" s="11"/>
      <c r="G60" s="41"/>
      <c r="H60" s="62"/>
      <c r="I60" s="62"/>
    </row>
    <row r="61" spans="2:9" ht="12.75">
      <c r="B61" s="38" t="s">
        <v>36</v>
      </c>
      <c r="C61" s="62"/>
      <c r="D61" s="62"/>
      <c r="E61" s="62"/>
      <c r="F61" s="32">
        <f>IF((G30+G37)&gt;0,G30+G37,0)</f>
        <v>259472</v>
      </c>
      <c r="G61" s="62"/>
      <c r="H61" s="62"/>
      <c r="I61" s="62"/>
    </row>
    <row r="62" spans="2:9" ht="12.75">
      <c r="B62" s="38" t="s">
        <v>37</v>
      </c>
      <c r="C62" s="62"/>
      <c r="D62" s="62"/>
      <c r="E62" s="62"/>
      <c r="F62" s="32">
        <f>IF(G46&gt;0,G46,0)</f>
        <v>0</v>
      </c>
      <c r="G62" s="62"/>
      <c r="H62" s="62"/>
      <c r="I62" s="62"/>
    </row>
    <row r="63" spans="2:9" ht="12.75">
      <c r="B63" s="38"/>
      <c r="C63" s="62"/>
      <c r="D63" s="62"/>
      <c r="E63" s="62"/>
      <c r="F63" s="32"/>
      <c r="G63" s="62"/>
      <c r="H63" s="62"/>
      <c r="I63" s="62"/>
    </row>
    <row r="64" spans="2:9" ht="12.75">
      <c r="B64" s="49" t="s">
        <v>57</v>
      </c>
      <c r="C64" s="19"/>
      <c r="D64" s="19"/>
      <c r="E64" s="19"/>
      <c r="F64" s="11"/>
      <c r="G64" s="19"/>
      <c r="H64" s="19"/>
      <c r="I64" s="19"/>
    </row>
    <row r="65" spans="2:9" ht="12.75">
      <c r="B65" s="11" t="s">
        <v>58</v>
      </c>
      <c r="C65" s="19"/>
      <c r="D65" s="19"/>
      <c r="E65" s="48"/>
      <c r="F65" s="37"/>
      <c r="G65" s="31">
        <f>1220.87+400+700</f>
        <v>2320.87</v>
      </c>
      <c r="H65" s="19"/>
      <c r="I65" s="19"/>
    </row>
    <row r="66" spans="2:9" ht="12.75">
      <c r="B66" s="18"/>
      <c r="C66" s="19"/>
      <c r="D66" s="19"/>
      <c r="E66" s="19"/>
      <c r="F66" s="19"/>
      <c r="G66" s="19"/>
      <c r="H66" s="19"/>
      <c r="I66" s="19"/>
    </row>
    <row r="67" spans="2:9" ht="12.75">
      <c r="B67" s="38"/>
      <c r="C67" s="19"/>
      <c r="D67" s="19"/>
      <c r="E67" s="19"/>
      <c r="F67" s="32"/>
      <c r="G67" s="19"/>
      <c r="H67" s="19"/>
      <c r="I67" s="19"/>
    </row>
    <row r="68" spans="2:9" ht="15.75">
      <c r="B68" s="39" t="s">
        <v>49</v>
      </c>
      <c r="C68" s="19"/>
      <c r="D68" s="19"/>
      <c r="E68" s="19"/>
      <c r="F68" s="40">
        <f>G54+G59+G65</f>
        <v>147174.19999999984</v>
      </c>
      <c r="G68" s="40" t="s">
        <v>40</v>
      </c>
      <c r="H68" s="19"/>
      <c r="I68" s="19"/>
    </row>
    <row r="69" spans="2:9" ht="12.75">
      <c r="B69" s="24" t="s">
        <v>38</v>
      </c>
      <c r="C69" s="19"/>
      <c r="D69" s="19"/>
      <c r="E69" s="19"/>
      <c r="F69" s="32"/>
      <c r="G69" s="19"/>
      <c r="H69" s="19"/>
      <c r="I69" s="19"/>
    </row>
    <row r="70" spans="2:9" ht="12.75">
      <c r="B70" s="24" t="s">
        <v>39</v>
      </c>
      <c r="C70" s="19"/>
      <c r="D70" s="19"/>
      <c r="E70" s="19"/>
      <c r="F70" s="32"/>
      <c r="G70" s="19"/>
      <c r="H70" s="19"/>
      <c r="I70" s="19"/>
    </row>
    <row r="71" spans="2:9" ht="12.75">
      <c r="B71" s="38"/>
      <c r="C71" s="19"/>
      <c r="D71" s="19"/>
      <c r="E71" s="19"/>
      <c r="F71" s="32"/>
      <c r="G71" s="19"/>
      <c r="H71" s="19"/>
      <c r="I71" s="19"/>
    </row>
    <row r="72" spans="2:9" ht="15.75">
      <c r="B72" s="39" t="s">
        <v>50</v>
      </c>
      <c r="C72" s="19"/>
      <c r="D72" s="19"/>
      <c r="E72" s="19"/>
      <c r="F72" s="40">
        <f>G49</f>
        <v>-147226.6299999999</v>
      </c>
      <c r="G72" s="40" t="s">
        <v>40</v>
      </c>
      <c r="H72" s="19"/>
      <c r="I72" s="19"/>
    </row>
    <row r="73" spans="2:9" ht="12.75">
      <c r="B73" s="24" t="s">
        <v>52</v>
      </c>
      <c r="C73" s="19"/>
      <c r="D73" s="19"/>
      <c r="E73" s="19"/>
      <c r="F73" s="32"/>
      <c r="G73" s="19"/>
      <c r="H73" s="19"/>
      <c r="I73" s="19"/>
    </row>
    <row r="74" spans="2:9" ht="12.75">
      <c r="B74" s="24" t="s">
        <v>53</v>
      </c>
      <c r="C74" s="19"/>
      <c r="D74" s="19"/>
      <c r="E74" s="19"/>
      <c r="F74" s="32"/>
      <c r="G74" s="19"/>
      <c r="H74" s="19"/>
      <c r="I74" s="19"/>
    </row>
    <row r="75" spans="2:9" ht="12.75">
      <c r="B75" s="13"/>
      <c r="C75" s="19"/>
      <c r="D75" s="19"/>
      <c r="E75" s="19"/>
      <c r="F75" s="19"/>
      <c r="G75" s="19"/>
      <c r="H75" s="19"/>
      <c r="I75" s="19"/>
    </row>
    <row r="76" spans="2:9" ht="15.75">
      <c r="B76" s="39" t="s">
        <v>56</v>
      </c>
      <c r="C76" s="19"/>
      <c r="D76" s="19"/>
      <c r="E76" s="19"/>
      <c r="F76" s="40">
        <f>D6+F68</f>
        <v>692101.4999999999</v>
      </c>
      <c r="G76" s="40" t="s">
        <v>40</v>
      </c>
      <c r="H76" s="19"/>
      <c r="I76" s="19"/>
    </row>
    <row r="77" spans="2:9" ht="12.75">
      <c r="B77" s="24" t="s">
        <v>38</v>
      </c>
      <c r="C77" s="19"/>
      <c r="D77" s="19"/>
      <c r="E77" s="19"/>
      <c r="F77" s="32"/>
      <c r="G77" s="19"/>
      <c r="H77" s="19"/>
      <c r="I77" s="19"/>
    </row>
    <row r="78" spans="2:9" ht="12.75">
      <c r="B78" s="24" t="s">
        <v>39</v>
      </c>
      <c r="C78" s="19"/>
      <c r="D78" s="19"/>
      <c r="E78" s="19"/>
      <c r="F78" s="32"/>
      <c r="G78" s="19"/>
      <c r="H78" s="19"/>
      <c r="I78" s="19"/>
    </row>
    <row r="79" spans="2:9" ht="12.75">
      <c r="B79" s="38"/>
      <c r="C79" s="19"/>
      <c r="D79" s="19"/>
      <c r="E79" s="19"/>
      <c r="F79" s="32"/>
      <c r="G79" s="19"/>
      <c r="H79" s="19"/>
      <c r="I79" s="19"/>
    </row>
    <row r="80" spans="2:9" ht="15.75">
      <c r="B80" s="39" t="s">
        <v>51</v>
      </c>
      <c r="C80" s="19"/>
      <c r="D80" s="19"/>
      <c r="E80" s="19"/>
      <c r="F80" s="40">
        <f>-601926.12-278738.07</f>
        <v>-880664.19</v>
      </c>
      <c r="G80" s="40" t="s">
        <v>40</v>
      </c>
      <c r="H80" s="19"/>
      <c r="I80" s="19"/>
    </row>
    <row r="81" spans="2:9" ht="12.75">
      <c r="B81" s="24" t="s">
        <v>52</v>
      </c>
      <c r="C81" s="19"/>
      <c r="D81" s="19"/>
      <c r="E81" s="19"/>
      <c r="F81" s="32"/>
      <c r="G81" s="19"/>
      <c r="H81" s="19"/>
      <c r="I81" s="19"/>
    </row>
    <row r="82" spans="2:9" ht="12.75">
      <c r="B82" s="24" t="s">
        <v>53</v>
      </c>
      <c r="C82" s="19"/>
      <c r="D82" s="19"/>
      <c r="E82" s="19"/>
      <c r="F82" s="32"/>
      <c r="G82" s="19"/>
      <c r="H82" s="19"/>
      <c r="I82" s="19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1:3" s="11" customFormat="1" ht="12.75">
      <c r="A85" s="37"/>
      <c r="C85" s="21" t="s">
        <v>20</v>
      </c>
    </row>
    <row r="86" spans="2:9" ht="12.75">
      <c r="B86" s="11"/>
      <c r="C86" s="62"/>
      <c r="D86" s="62"/>
      <c r="E86" s="62"/>
      <c r="F86" s="62"/>
      <c r="G86" s="62"/>
      <c r="H86" s="62"/>
      <c r="I86" s="62"/>
    </row>
    <row r="87" spans="2:6" ht="15">
      <c r="B87" s="17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  <row r="94" spans="2:6" ht="14.25">
      <c r="B94" s="68"/>
      <c r="C94" s="68"/>
      <c r="D94" s="68"/>
      <c r="E94" s="68"/>
      <c r="F94" s="68"/>
    </row>
  </sheetData>
  <sheetProtection/>
  <mergeCells count="19">
    <mergeCell ref="G44:G45"/>
    <mergeCell ref="F42:F43"/>
    <mergeCell ref="G15:G17"/>
    <mergeCell ref="C44:C45"/>
    <mergeCell ref="D44:D45"/>
    <mergeCell ref="F44:F45"/>
    <mergeCell ref="C42:C43"/>
    <mergeCell ref="D42:D43"/>
    <mergeCell ref="E44:E45"/>
    <mergeCell ref="B44:B45"/>
    <mergeCell ref="B14:G14"/>
    <mergeCell ref="B19:G19"/>
    <mergeCell ref="E42:E43"/>
    <mergeCell ref="C15:C17"/>
    <mergeCell ref="D15:D17"/>
    <mergeCell ref="E15:E17"/>
    <mergeCell ref="F15:F17"/>
    <mergeCell ref="B42:B43"/>
    <mergeCell ref="G42:G43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57">
      <selection activeCell="J47" sqref="J47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96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357049.06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'[22]Sheet1'!$N$15</f>
        <v>236919</v>
      </c>
      <c r="D15" s="50">
        <f>'[22]Sheet1'!$R$15</f>
        <v>228883</v>
      </c>
      <c r="E15" s="50">
        <f>D15-C15</f>
        <v>-8036</v>
      </c>
      <c r="F15" s="50">
        <f>'[22]Sheet1'!$T$15</f>
        <v>236919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236919</v>
      </c>
      <c r="D18" s="26">
        <f>D15</f>
        <v>228883</v>
      </c>
      <c r="E18" s="26">
        <f>E15</f>
        <v>-8036</v>
      </c>
      <c r="F18" s="26">
        <f>F15</f>
        <v>236919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'[22]Sheet1'!$N$18</f>
        <v>92644</v>
      </c>
      <c r="D21" s="25">
        <f>'[22]Sheet1'!$R$18</f>
        <v>89501</v>
      </c>
      <c r="E21" s="25">
        <f>D21-C21</f>
        <v>-3143</v>
      </c>
      <c r="F21" s="25">
        <f>'[22]Sheet1'!$T$18</f>
        <v>92644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'[22]Sheet1'!$N$19</f>
        <v>8534</v>
      </c>
      <c r="D22" s="25">
        <f>'[22]Sheet1'!$R$19</f>
        <v>8245</v>
      </c>
      <c r="E22" s="25">
        <f>D22-C22</f>
        <v>-289</v>
      </c>
      <c r="F22" s="25">
        <f>'[22]Sheet1'!$T$19</f>
        <v>8534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'[22]Sheet1'!$N$20</f>
        <v>19247</v>
      </c>
      <c r="D23" s="25">
        <f>'[22]Sheet1'!$R$20</f>
        <v>18594</v>
      </c>
      <c r="E23" s="25">
        <f>D23-C23</f>
        <v>-653</v>
      </c>
      <c r="F23" s="25">
        <f>'[22]Sheet1'!$T$20</f>
        <v>19247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'[22]Sheet1'!$K$22</f>
        <v>30126</v>
      </c>
      <c r="D24" s="25">
        <f>'[22]Sheet1'!$R$22</f>
        <v>29104</v>
      </c>
      <c r="E24" s="25">
        <f>D24-C24</f>
        <v>-1022</v>
      </c>
      <c r="F24" s="25">
        <f>'[22]Sheet1'!$T$22</f>
        <v>20315</v>
      </c>
      <c r="G24" s="25">
        <f>C24-F24</f>
        <v>9811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f>C26</f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'[22]Sheet1'!$N$26</f>
        <v>171429</v>
      </c>
      <c r="D27" s="25">
        <f>'[22]Sheet1'!$R$26</f>
        <v>165614</v>
      </c>
      <c r="E27" s="25">
        <f>D27-C27</f>
        <v>-5815</v>
      </c>
      <c r="F27" s="25">
        <f>'[22]Sheet1'!$T$26</f>
        <v>171429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'[22]Sheet1'!$N$41+'[22]Sheet1'!$N$42</f>
        <v>28339</v>
      </c>
      <c r="D28" s="25">
        <f>'[22]Sheet1'!$R$41+'[22]Sheet1'!$R$42</f>
        <v>27378</v>
      </c>
      <c r="E28" s="25">
        <f>D28-C28</f>
        <v>-961</v>
      </c>
      <c r="F28" s="25">
        <f>'[22]Sheet1'!$T$41+'[22]Sheet1'!$T$42</f>
        <v>28339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350319</v>
      </c>
      <c r="D29" s="26">
        <f>SUM(D20:D28)</f>
        <v>338436</v>
      </c>
      <c r="E29" s="26">
        <f>SUM(E20:E28)</f>
        <v>-11883</v>
      </c>
      <c r="F29" s="26">
        <f>SUM(F20:F28)</f>
        <v>340508</v>
      </c>
      <c r="G29" s="26">
        <f>SUM(G20:G28)</f>
        <v>9811</v>
      </c>
      <c r="H29" s="62"/>
      <c r="I29" s="62"/>
    </row>
    <row r="30" spans="2:9" ht="13.5" thickBot="1">
      <c r="B30" s="7" t="s">
        <v>15</v>
      </c>
      <c r="C30" s="26">
        <f>C18+C29</f>
        <v>587238</v>
      </c>
      <c r="D30" s="26">
        <f>D18+D29</f>
        <v>567319</v>
      </c>
      <c r="E30" s="26">
        <f>E18+E29</f>
        <v>-19919</v>
      </c>
      <c r="F30" s="26">
        <f>F18+F29</f>
        <v>577427</v>
      </c>
      <c r="G30" s="26">
        <f>G18+G29</f>
        <v>9811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'[22]Sheet1'!$N$12</f>
        <v>429652</v>
      </c>
      <c r="D35" s="28">
        <f>'[22]Sheet1'!$R$12</f>
        <v>415078</v>
      </c>
      <c r="E35" s="28">
        <f>D35-C35</f>
        <v>-14574</v>
      </c>
      <c r="F35" s="28">
        <f>'[22]Sheet1'!$U$12</f>
        <v>58822</v>
      </c>
      <c r="G35" s="28">
        <f>C35-F35</f>
        <v>370830</v>
      </c>
      <c r="H35" s="65"/>
      <c r="I35" s="62"/>
    </row>
    <row r="36" spans="2:9" ht="13.5" thickBot="1">
      <c r="B36" s="6" t="s">
        <v>18</v>
      </c>
      <c r="C36" s="29">
        <f>C35</f>
        <v>429652</v>
      </c>
      <c r="D36" s="29">
        <f>D35</f>
        <v>415078</v>
      </c>
      <c r="E36" s="29">
        <f>E35</f>
        <v>-14574</v>
      </c>
      <c r="F36" s="29">
        <f>F35</f>
        <v>58822</v>
      </c>
      <c r="G36" s="29">
        <f>G35</f>
        <v>370830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'[22]Sheet1'!$N$33</f>
        <v>590403</v>
      </c>
      <c r="D41" s="50">
        <f>'[22]Sheet1'!$R$33</f>
        <v>570376</v>
      </c>
      <c r="E41" s="50">
        <f>D41-C41</f>
        <v>-20027</v>
      </c>
      <c r="F41" s="50">
        <f>'[22]Sheet1'!$T$33</f>
        <v>821006</v>
      </c>
      <c r="G41" s="50">
        <f>C41-F41</f>
        <v>-230603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2086937.31-190014.79</f>
        <v>1896922.52</v>
      </c>
      <c r="D43" s="50">
        <v>1857148</v>
      </c>
      <c r="E43" s="50">
        <f>D43-C43</f>
        <v>-39774.52000000002</v>
      </c>
      <c r="F43" s="50">
        <f>'[22]Sheet1'!$T$36</f>
        <v>1990450</v>
      </c>
      <c r="G43" s="50">
        <f>C43-F43</f>
        <v>-93527.47999999998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2487325.52</v>
      </c>
      <c r="D45" s="29">
        <f>D41+D43</f>
        <v>2427524</v>
      </c>
      <c r="E45" s="29">
        <f>E41+E43</f>
        <v>-59801.52000000002</v>
      </c>
      <c r="F45" s="29">
        <f>F41+F43</f>
        <v>2811456</v>
      </c>
      <c r="G45" s="29">
        <f>G41+G43</f>
        <v>-324130.48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-94294.52000000002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-34493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-59801.52000000002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-324130.48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-324130.48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380641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380641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58831.39000000002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-94294.52000000002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415880.45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-504537.83-216195.82</f>
        <v>-720733.65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56">
      <selection activeCell="D45" sqref="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97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-32441.22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'[23]Sheet1'!$N$15</f>
        <v>233355</v>
      </c>
      <c r="D15" s="50">
        <f>'[23]Sheet1'!$R$15</f>
        <v>228155</v>
      </c>
      <c r="E15" s="50">
        <f>D15-C15</f>
        <v>-5200</v>
      </c>
      <c r="F15" s="50">
        <f>'[23]Sheet1'!$T$15</f>
        <v>233355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233355</v>
      </c>
      <c r="D18" s="26">
        <f>D15</f>
        <v>228155</v>
      </c>
      <c r="E18" s="26">
        <f>E15</f>
        <v>-5200</v>
      </c>
      <c r="F18" s="26">
        <f>F15</f>
        <v>233355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'[23]Sheet1'!$N$18</f>
        <v>95008</v>
      </c>
      <c r="D21" s="25">
        <f>'[23]Sheet1'!$R$18</f>
        <v>92891</v>
      </c>
      <c r="E21" s="25">
        <f>D21-C21</f>
        <v>-2117</v>
      </c>
      <c r="F21" s="25">
        <f>'[23]Sheet1'!$T$18</f>
        <v>95008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'[23]Sheet1'!$N$19</f>
        <v>8738</v>
      </c>
      <c r="D22" s="25">
        <f>'[23]Sheet1'!$R$19</f>
        <v>8543</v>
      </c>
      <c r="E22" s="25">
        <f>D22-C22</f>
        <v>-195</v>
      </c>
      <c r="F22" s="25">
        <f>'[23]Sheet1'!$T$19</f>
        <v>8738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'[23]Sheet1'!$N$20</f>
        <v>19698</v>
      </c>
      <c r="D23" s="25">
        <f>'[23]Sheet1'!$R$20</f>
        <v>19259</v>
      </c>
      <c r="E23" s="25">
        <f>D23-C23</f>
        <v>-439</v>
      </c>
      <c r="F23" s="25">
        <f>'[23]Sheet1'!$T$20</f>
        <v>19698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'[23]Sheet1'!$K$22</f>
        <v>30308</v>
      </c>
      <c r="D24" s="25">
        <f>'[23]Sheet1'!$R$22</f>
        <v>29633</v>
      </c>
      <c r="E24" s="25">
        <f>D24-C24</f>
        <v>-675</v>
      </c>
      <c r="F24" s="25">
        <f>'[23]Sheet1'!$T$22</f>
        <v>32092</v>
      </c>
      <c r="G24" s="25">
        <f>C24-F24</f>
        <v>-1784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f>C26</f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'[23]Sheet1'!$N$26</f>
        <v>175549</v>
      </c>
      <c r="D27" s="25">
        <f>'[23]Sheet1'!$R$26</f>
        <v>171637</v>
      </c>
      <c r="E27" s="25">
        <f>D27-C27</f>
        <v>-3912</v>
      </c>
      <c r="F27" s="25">
        <f>'[23]Sheet1'!$T$26</f>
        <v>175549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'[23]Sheet1'!$N$41+'[23]Sheet1'!$N$42</f>
        <v>29084</v>
      </c>
      <c r="D28" s="25">
        <f>'[23]Sheet1'!$R$41+'[23]Sheet1'!$R$42</f>
        <v>28435</v>
      </c>
      <c r="E28" s="25">
        <f>D28-C28</f>
        <v>-649</v>
      </c>
      <c r="F28" s="25">
        <f>'[23]Sheet1'!$T$41+'[23]Sheet1'!$T$42</f>
        <v>29084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358385</v>
      </c>
      <c r="D29" s="26">
        <f>SUM(D20:D28)</f>
        <v>350398</v>
      </c>
      <c r="E29" s="26">
        <f>SUM(E20:E28)</f>
        <v>-7987</v>
      </c>
      <c r="F29" s="26">
        <f>SUM(F20:F28)</f>
        <v>360169</v>
      </c>
      <c r="G29" s="26">
        <f>SUM(G20:G28)</f>
        <v>-1784</v>
      </c>
      <c r="H29" s="62"/>
      <c r="I29" s="62"/>
    </row>
    <row r="30" spans="2:9" ht="13.5" thickBot="1">
      <c r="B30" s="7" t="s">
        <v>15</v>
      </c>
      <c r="C30" s="26">
        <f>C18+C29</f>
        <v>591740</v>
      </c>
      <c r="D30" s="26">
        <f>D18+D29</f>
        <v>578553</v>
      </c>
      <c r="E30" s="26">
        <f>E18+E29</f>
        <v>-13187</v>
      </c>
      <c r="F30" s="26">
        <f>F18+F29</f>
        <v>593524</v>
      </c>
      <c r="G30" s="26">
        <f>G18+G29</f>
        <v>-1784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'[23]Sheet1'!$N$12</f>
        <v>432542</v>
      </c>
      <c r="D35" s="28">
        <f>'[23]Sheet1'!$R$12</f>
        <v>422903</v>
      </c>
      <c r="E35" s="28">
        <f>D35-C35</f>
        <v>-9639</v>
      </c>
      <c r="F35" s="28">
        <f>'[23]Sheet1'!$U$12</f>
        <v>190629</v>
      </c>
      <c r="G35" s="28">
        <f>C35-F35</f>
        <v>241913</v>
      </c>
      <c r="H35" s="65"/>
      <c r="I35" s="62"/>
    </row>
    <row r="36" spans="2:9" ht="13.5" thickBot="1">
      <c r="B36" s="6" t="s">
        <v>18</v>
      </c>
      <c r="C36" s="29">
        <f>C35</f>
        <v>432542</v>
      </c>
      <c r="D36" s="29">
        <f>D35</f>
        <v>422903</v>
      </c>
      <c r="E36" s="29">
        <f>E35</f>
        <v>-9639</v>
      </c>
      <c r="F36" s="29">
        <f>F35</f>
        <v>190629</v>
      </c>
      <c r="G36" s="29">
        <f>G35</f>
        <v>241913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'[23]Sheet1'!$N$33</f>
        <v>565234</v>
      </c>
      <c r="D41" s="50">
        <f>'[23]Sheet1'!$R$33</f>
        <v>552638</v>
      </c>
      <c r="E41" s="50">
        <f>D41-C41</f>
        <v>-12596</v>
      </c>
      <c r="F41" s="50">
        <f>'[23]Sheet1'!$T$33</f>
        <v>733157</v>
      </c>
      <c r="G41" s="50">
        <f>C41-F41</f>
        <v>-167923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2009699.68-164448.31</f>
        <v>1845251.3699999999</v>
      </c>
      <c r="D43" s="50">
        <v>1862571.5</v>
      </c>
      <c r="E43" s="50">
        <f>D43-C43</f>
        <v>17320.13000000012</v>
      </c>
      <c r="F43" s="50">
        <f>'[23]Sheet1'!$T$36</f>
        <v>2072977</v>
      </c>
      <c r="G43" s="50">
        <f>C43-F43</f>
        <v>-227725.63000000012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2410485.37</v>
      </c>
      <c r="D45" s="29">
        <f>D41+D43</f>
        <v>2415209.5</v>
      </c>
      <c r="E45" s="29">
        <f>E41+E43</f>
        <v>4724.130000000121</v>
      </c>
      <c r="F45" s="29">
        <f>F41+F43</f>
        <v>2806134</v>
      </c>
      <c r="G45" s="29">
        <f>G41+G43</f>
        <v>-395648.6300000001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-18101.86999999988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-22826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4724.130000000121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-395648.6300000001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-395648.6300000001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240129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240129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-153198.76000000013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-18101.86999999988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-185639.98000000013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-446772.35-180076.89</f>
        <v>-626849.24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1:3" s="11" customFormat="1" ht="12.75">
      <c r="A85" s="37"/>
      <c r="C85" s="21" t="s">
        <v>20</v>
      </c>
    </row>
    <row r="86" spans="2:9" ht="12.75">
      <c r="B86" s="11"/>
      <c r="C86" s="62"/>
      <c r="D86" s="62"/>
      <c r="E86" s="62"/>
      <c r="F86" s="62"/>
      <c r="G86" s="62"/>
      <c r="H86" s="62"/>
      <c r="I86" s="62"/>
    </row>
    <row r="87" spans="2:6" ht="15">
      <c r="B87" s="17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  <row r="94" spans="2:6" ht="14.25">
      <c r="B94" s="68"/>
      <c r="C94" s="68"/>
      <c r="D94" s="68"/>
      <c r="E94" s="68"/>
      <c r="F94" s="68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8">
      <selection activeCell="D45" sqref="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98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-210173.9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'[24]Sheet1'!$N$15</f>
        <v>106264</v>
      </c>
      <c r="D15" s="50">
        <f>'[24]Sheet1'!$R$15</f>
        <v>96256</v>
      </c>
      <c r="E15" s="50">
        <f>D15-C15</f>
        <v>-10008</v>
      </c>
      <c r="F15" s="50">
        <f>'[24]Sheet1'!$T$15</f>
        <v>106264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106264</v>
      </c>
      <c r="D18" s="26">
        <f>D15</f>
        <v>96256</v>
      </c>
      <c r="E18" s="26">
        <f>E15</f>
        <v>-10008</v>
      </c>
      <c r="F18" s="26">
        <f>F15</f>
        <v>106264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'[24]Sheet1'!$N$18</f>
        <v>43787</v>
      </c>
      <c r="D21" s="25">
        <f>'[24]Sheet1'!$R$18</f>
        <v>39663</v>
      </c>
      <c r="E21" s="25">
        <f>D21-C21</f>
        <v>-4124</v>
      </c>
      <c r="F21" s="25">
        <f>'[24]Sheet1'!$T$18</f>
        <v>43787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'[24]Sheet1'!$N$19</f>
        <v>4041</v>
      </c>
      <c r="D22" s="25">
        <f>'[24]Sheet1'!$R$19</f>
        <v>3660</v>
      </c>
      <c r="E22" s="25">
        <f>D22-C22</f>
        <v>-381</v>
      </c>
      <c r="F22" s="25">
        <f>'[24]Sheet1'!$T$19</f>
        <v>4041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'[24]Sheet1'!$N$20</f>
        <v>9040</v>
      </c>
      <c r="D23" s="25">
        <f>'[24]Sheet1'!$R$20</f>
        <v>8189</v>
      </c>
      <c r="E23" s="25">
        <f>D23-C23</f>
        <v>-851</v>
      </c>
      <c r="F23" s="25">
        <f>'[24]Sheet1'!$T$20</f>
        <v>9040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'[24]Sheet1'!$K$22</f>
        <v>14259</v>
      </c>
      <c r="D24" s="25">
        <f>'[24]Sheet1'!$R$22</f>
        <v>12916</v>
      </c>
      <c r="E24" s="25">
        <f>D24-C24</f>
        <v>-1343</v>
      </c>
      <c r="F24" s="25">
        <f>'[24]Sheet1'!$T$22</f>
        <v>20300</v>
      </c>
      <c r="G24" s="25">
        <f>C24-F24</f>
        <v>-6041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f>C26</f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'[24]Sheet1'!$N$26</f>
        <v>80598</v>
      </c>
      <c r="D27" s="25">
        <f>'[24]Sheet1'!$R$26</f>
        <v>73007</v>
      </c>
      <c r="E27" s="25">
        <f>D27-C27</f>
        <v>-7591</v>
      </c>
      <c r="F27" s="25">
        <f>'[24]Sheet1'!$T$26</f>
        <v>80598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'[24]Sheet1'!$N$41+'[24]Sheet1'!$N$42</f>
        <v>13423</v>
      </c>
      <c r="D28" s="25">
        <f>'[24]Sheet1'!$R$41+'[24]Sheet1'!$R$42</f>
        <v>12158</v>
      </c>
      <c r="E28" s="25">
        <f>D28-C28</f>
        <v>-1265</v>
      </c>
      <c r="F28" s="25">
        <f>'[24]Sheet1'!$T$41+'[24]Sheet1'!$T$42</f>
        <v>13423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165148</v>
      </c>
      <c r="D29" s="26">
        <f>SUM(D20:D28)</f>
        <v>149593</v>
      </c>
      <c r="E29" s="26">
        <f>SUM(E20:E28)</f>
        <v>-15555</v>
      </c>
      <c r="F29" s="26">
        <f>SUM(F20:F28)</f>
        <v>171189</v>
      </c>
      <c r="G29" s="26">
        <f>SUM(G20:G28)</f>
        <v>-6041</v>
      </c>
      <c r="H29" s="62"/>
      <c r="I29" s="62"/>
    </row>
    <row r="30" spans="2:9" ht="13.5" thickBot="1">
      <c r="B30" s="7" t="s">
        <v>15</v>
      </c>
      <c r="C30" s="26">
        <f>C18+C29</f>
        <v>271412</v>
      </c>
      <c r="D30" s="26">
        <f>D18+D29</f>
        <v>245849</v>
      </c>
      <c r="E30" s="26">
        <f>E18+E29</f>
        <v>-25563</v>
      </c>
      <c r="F30" s="26">
        <f>F18+F29</f>
        <v>277453</v>
      </c>
      <c r="G30" s="26">
        <f>G18+G29</f>
        <v>-6041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'[24]Sheet1'!$N$12</f>
        <v>198147</v>
      </c>
      <c r="D35" s="28">
        <f>'[24]Sheet1'!$R$12</f>
        <v>179485</v>
      </c>
      <c r="E35" s="28">
        <f>D35-C35</f>
        <v>-18662</v>
      </c>
      <c r="F35" s="74">
        <f>'[24]Sheet1'!$U$12-94118</f>
        <v>83234</v>
      </c>
      <c r="G35" s="28">
        <f>C35-F35</f>
        <v>114913</v>
      </c>
      <c r="H35" s="65"/>
      <c r="I35" s="62"/>
    </row>
    <row r="36" spans="2:9" ht="13.5" thickBot="1">
      <c r="B36" s="6" t="s">
        <v>18</v>
      </c>
      <c r="C36" s="29">
        <f>C35</f>
        <v>198147</v>
      </c>
      <c r="D36" s="29">
        <f>D35</f>
        <v>179485</v>
      </c>
      <c r="E36" s="29">
        <f>E35</f>
        <v>-18662</v>
      </c>
      <c r="F36" s="29">
        <f>F35</f>
        <v>83234</v>
      </c>
      <c r="G36" s="29">
        <f>G35</f>
        <v>114913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46</v>
      </c>
      <c r="C41" s="50">
        <f>'[24]Sheet1'!$N$33</f>
        <v>268228</v>
      </c>
      <c r="D41" s="50">
        <f>'[24]Sheet1'!$R$33</f>
        <v>242965</v>
      </c>
      <c r="E41" s="50">
        <f>D41-C41</f>
        <v>-25263</v>
      </c>
      <c r="F41" s="50">
        <f>'[24]Sheet1'!$T$33</f>
        <v>350397</v>
      </c>
      <c r="G41" s="50">
        <f>C41-F41</f>
        <v>-82169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961775.8-82293.76</f>
        <v>879482.04</v>
      </c>
      <c r="D43" s="50">
        <v>806353.67</v>
      </c>
      <c r="E43" s="50">
        <f>D43-C43</f>
        <v>-73128.37</v>
      </c>
      <c r="F43" s="50">
        <f>'[24]Sheet1'!$T$36</f>
        <v>967294</v>
      </c>
      <c r="G43" s="50">
        <f>C43-F43</f>
        <v>-87811.95999999996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1147710.04</v>
      </c>
      <c r="D45" s="29">
        <f>D41+D43</f>
        <v>1049318.67</v>
      </c>
      <c r="E45" s="29">
        <f>E41+E43</f>
        <v>-98391.37</v>
      </c>
      <c r="F45" s="29">
        <f>F41+F43</f>
        <v>1317691</v>
      </c>
      <c r="G45" s="29">
        <f>G41+G43</f>
        <v>-169980.95999999996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-142616.37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-44225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-98391.37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-169980.95999999996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-169980.95999999996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48</v>
      </c>
      <c r="C58" s="66"/>
      <c r="D58" s="66"/>
      <c r="E58" s="67"/>
      <c r="F58" s="37"/>
      <c r="G58" s="31">
        <f>F60+F61</f>
        <v>108872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108872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-58788.08999999996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-142616.37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-268961.98999999993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-195274.27-145470.64</f>
        <v>-340744.91000000003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1:3" s="11" customFormat="1" ht="12.75">
      <c r="A84" s="37"/>
      <c r="C84" s="21" t="s">
        <v>20</v>
      </c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2:6" ht="15">
      <c r="B86" s="17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61">
      <selection activeCell="D45" sqref="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15"/>
      <c r="D1" s="15"/>
      <c r="E1" s="15"/>
      <c r="F1" s="15"/>
    </row>
    <row r="2" spans="1:6" ht="18.75">
      <c r="A2" s="42"/>
      <c r="B2" s="15"/>
      <c r="D2" s="2" t="s">
        <v>99</v>
      </c>
      <c r="E2" s="15"/>
      <c r="F2" s="15"/>
    </row>
    <row r="3" spans="2:6" ht="18.75">
      <c r="B3" s="15"/>
      <c r="D3" s="3" t="s">
        <v>45</v>
      </c>
      <c r="E3" s="15"/>
      <c r="F3" s="15"/>
    </row>
    <row r="4" spans="2:6" ht="9.75" customHeight="1">
      <c r="B4" s="12"/>
      <c r="C4" s="14"/>
      <c r="D4" s="14"/>
      <c r="E4" s="14"/>
      <c r="F4" s="14"/>
    </row>
    <row r="5" spans="2:6" ht="12" customHeight="1">
      <c r="B5" s="12"/>
      <c r="C5" s="14"/>
      <c r="D5" s="14"/>
      <c r="E5" s="14"/>
      <c r="F5" s="14"/>
    </row>
    <row r="6" spans="2:6" ht="15.75">
      <c r="B6" s="46" t="s">
        <v>54</v>
      </c>
      <c r="C6" s="14"/>
      <c r="D6" s="47">
        <v>157645.94</v>
      </c>
      <c r="E6" s="14"/>
      <c r="F6" s="14"/>
    </row>
    <row r="7" spans="2:6" ht="15.75">
      <c r="B7" s="38" t="s">
        <v>55</v>
      </c>
      <c r="C7" s="14"/>
      <c r="D7" s="47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'[25]Sheet1'!$N$15</f>
        <v>243240</v>
      </c>
      <c r="D15" s="50">
        <f>'[25]Sheet1'!$R$15</f>
        <v>235343</v>
      </c>
      <c r="E15" s="50">
        <f>D15-C15</f>
        <v>-7897</v>
      </c>
      <c r="F15" s="50">
        <f>'[25]Sheet1'!$T$15</f>
        <v>243240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243240</v>
      </c>
      <c r="D18" s="26">
        <f>D15</f>
        <v>235343</v>
      </c>
      <c r="E18" s="26">
        <f>E15</f>
        <v>-7897</v>
      </c>
      <c r="F18" s="26">
        <f>F15</f>
        <v>243240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'[25]Sheet1'!$N$18</f>
        <v>95245</v>
      </c>
      <c r="D21" s="25">
        <f>'[25]Sheet1'!$R$18</f>
        <v>92152</v>
      </c>
      <c r="E21" s="25">
        <f>D21-C21</f>
        <v>-3093</v>
      </c>
      <c r="F21" s="25">
        <f>'[25]Sheet1'!$T$18</f>
        <v>95245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'[25]Sheet1'!$N$19</f>
        <v>8749</v>
      </c>
      <c r="D22" s="25">
        <f>'[25]Sheet1'!$R$19</f>
        <v>8465</v>
      </c>
      <c r="E22" s="25">
        <f>D22-C22</f>
        <v>-284</v>
      </c>
      <c r="F22" s="25">
        <f>'[25]Sheet1'!$T$19</f>
        <v>8749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'[25]Sheet1'!$N$20</f>
        <v>19913</v>
      </c>
      <c r="D23" s="25">
        <f>'[25]Sheet1'!$R$20</f>
        <v>19266</v>
      </c>
      <c r="E23" s="25">
        <f>D23-C23</f>
        <v>-647</v>
      </c>
      <c r="F23" s="25">
        <f>'[25]Sheet1'!$T$20</f>
        <v>19913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'[25]Sheet1'!$K$22</f>
        <v>30568</v>
      </c>
      <c r="D24" s="25">
        <f>'[25]Sheet1'!$R$22</f>
        <v>29575</v>
      </c>
      <c r="E24" s="25">
        <f>D24-C24</f>
        <v>-993</v>
      </c>
      <c r="F24" s="25">
        <f>'[25]Sheet1'!$T$22</f>
        <v>19151</v>
      </c>
      <c r="G24" s="25">
        <f>C24-F24</f>
        <v>11417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f>C26</f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'[25]Sheet1'!$N$26</f>
        <v>177211</v>
      </c>
      <c r="D27" s="25">
        <f>'[25]Sheet1'!$R$26</f>
        <v>171458</v>
      </c>
      <c r="E27" s="25">
        <f>D27-C27</f>
        <v>-5753</v>
      </c>
      <c r="F27" s="25">
        <f>'[25]Sheet1'!$T$26</f>
        <v>177211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'[25]Sheet1'!$N$41+'[25]Sheet1'!$N$42</f>
        <v>29079</v>
      </c>
      <c r="D28" s="25">
        <f>'[25]Sheet1'!$R$41+'[25]Sheet1'!$R$42</f>
        <v>28134</v>
      </c>
      <c r="E28" s="25">
        <f>D28-C28</f>
        <v>-945</v>
      </c>
      <c r="F28" s="25">
        <f>'[25]Sheet1'!$T$41+'[25]Sheet1'!$T$42</f>
        <v>29079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360765</v>
      </c>
      <c r="D29" s="26">
        <f>SUM(D20:D28)</f>
        <v>349050</v>
      </c>
      <c r="E29" s="26">
        <f>SUM(E20:E28)</f>
        <v>-11715</v>
      </c>
      <c r="F29" s="26">
        <f>SUM(F20:F28)</f>
        <v>349348</v>
      </c>
      <c r="G29" s="26">
        <f>SUM(G20:G28)</f>
        <v>11417</v>
      </c>
      <c r="H29" s="62"/>
      <c r="I29" s="62"/>
    </row>
    <row r="30" spans="2:9" ht="13.5" thickBot="1">
      <c r="B30" s="7" t="s">
        <v>15</v>
      </c>
      <c r="C30" s="26">
        <f>C18+C29</f>
        <v>604005</v>
      </c>
      <c r="D30" s="26">
        <f>D18+D29</f>
        <v>584393</v>
      </c>
      <c r="E30" s="26">
        <f>E18+E29</f>
        <v>-19612</v>
      </c>
      <c r="F30" s="26">
        <f>F18+F29</f>
        <v>592588</v>
      </c>
      <c r="G30" s="26">
        <f>G18+G29</f>
        <v>11417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'[25]Sheet1'!$N$12</f>
        <v>436563</v>
      </c>
      <c r="D35" s="28">
        <f>'[25]Sheet1'!$R$12</f>
        <v>422390</v>
      </c>
      <c r="E35" s="28">
        <f>D35-C35</f>
        <v>-14173</v>
      </c>
      <c r="F35" s="28">
        <f>'[25]Sheet1'!$U$12</f>
        <v>57654</v>
      </c>
      <c r="G35" s="28">
        <f>C35-F35</f>
        <v>378909</v>
      </c>
      <c r="H35" s="65"/>
      <c r="I35" s="62"/>
    </row>
    <row r="36" spans="2:9" ht="13.5" thickBot="1">
      <c r="B36" s="6" t="s">
        <v>18</v>
      </c>
      <c r="C36" s="29">
        <f>C35</f>
        <v>436563</v>
      </c>
      <c r="D36" s="29">
        <f>D35</f>
        <v>422390</v>
      </c>
      <c r="E36" s="29">
        <f>E35</f>
        <v>-14173</v>
      </c>
      <c r="F36" s="29">
        <f>F35</f>
        <v>57654</v>
      </c>
      <c r="G36" s="29">
        <f>G35</f>
        <v>378909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46</v>
      </c>
      <c r="C41" s="50">
        <f>'[25]Sheet1'!$N$33</f>
        <v>666055</v>
      </c>
      <c r="D41" s="50">
        <f>'[25]Sheet1'!$R$33</f>
        <v>644431</v>
      </c>
      <c r="E41" s="50">
        <f>D41-C41</f>
        <v>-21624</v>
      </c>
      <c r="F41" s="50">
        <f>'[25]Sheet1'!$T$33</f>
        <v>876070</v>
      </c>
      <c r="G41" s="50">
        <f>C41-F41</f>
        <v>-210015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2152505.57-195085.54</f>
        <v>1957420.0299999998</v>
      </c>
      <c r="D43" s="50">
        <v>1945521.4</v>
      </c>
      <c r="E43" s="50">
        <f>D43-C43</f>
        <v>-11898.629999999888</v>
      </c>
      <c r="F43" s="50">
        <f>'[25]Sheet1'!$T$36</f>
        <v>2120105</v>
      </c>
      <c r="G43" s="50">
        <f>C43-F43</f>
        <v>-162684.9700000002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2623475.03</v>
      </c>
      <c r="D45" s="29">
        <f>D41+D43</f>
        <v>2589952.4</v>
      </c>
      <c r="E45" s="29">
        <f>E41+E43</f>
        <v>-33522.62999999989</v>
      </c>
      <c r="F45" s="29">
        <f>F41+F43</f>
        <v>2996175</v>
      </c>
      <c r="G45" s="29">
        <f>G41+G43</f>
        <v>-372699.9700000002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-67307.62999999989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-33785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-33522.62999999989</v>
      </c>
      <c r="G51" s="62"/>
      <c r="H51" s="62"/>
      <c r="I51" s="62"/>
    </row>
    <row r="52" spans="2:9" ht="12.75">
      <c r="B52" s="24" t="s">
        <v>72</v>
      </c>
      <c r="C52" s="62"/>
      <c r="D52" s="62"/>
      <c r="E52" s="62"/>
      <c r="F52" s="32"/>
      <c r="G52" s="62"/>
      <c r="H52" s="62"/>
      <c r="I52" s="62"/>
    </row>
    <row r="53" spans="2:9" ht="12.75">
      <c r="B53" s="24" t="s">
        <v>53</v>
      </c>
      <c r="C53" s="62"/>
      <c r="D53" s="62"/>
      <c r="E53" s="62"/>
      <c r="F53" s="32"/>
      <c r="G53" s="62"/>
      <c r="H53" s="62"/>
      <c r="I53" s="62"/>
    </row>
    <row r="54" spans="2:9" ht="12.75">
      <c r="B54" s="38"/>
      <c r="C54" s="62"/>
      <c r="D54" s="62"/>
      <c r="E54" s="62"/>
      <c r="F54" s="32"/>
      <c r="G54" s="62"/>
      <c r="H54" s="62"/>
      <c r="I54" s="62"/>
    </row>
    <row r="55" spans="2:9" s="33" customFormat="1" ht="12.75">
      <c r="B55" s="34" t="s">
        <v>87</v>
      </c>
      <c r="C55" s="66"/>
      <c r="D55" s="66"/>
      <c r="E55" s="67"/>
      <c r="F55" s="37"/>
      <c r="G55" s="31">
        <f>F57+F58</f>
        <v>-372699.9700000002</v>
      </c>
      <c r="H55" s="66"/>
      <c r="I55" s="66"/>
    </row>
    <row r="56" spans="2:9" s="33" customFormat="1" ht="12.75">
      <c r="B56" s="30" t="s">
        <v>32</v>
      </c>
      <c r="C56" s="66"/>
      <c r="D56" s="66"/>
      <c r="E56" s="67"/>
      <c r="F56" s="37"/>
      <c r="G56" s="41"/>
      <c r="H56" s="66"/>
      <c r="I56" s="66"/>
    </row>
    <row r="57" spans="2:9" s="33" customFormat="1" ht="12.75">
      <c r="B57" s="38" t="s">
        <v>36</v>
      </c>
      <c r="C57" s="66"/>
      <c r="D57" s="66"/>
      <c r="E57" s="67"/>
      <c r="F57" s="32">
        <f>IF((G30+G36)&lt;=0,G30+G36,0)</f>
        <v>0</v>
      </c>
      <c r="G57" s="41"/>
      <c r="H57" s="66"/>
      <c r="I57" s="66"/>
    </row>
    <row r="58" spans="2:9" s="33" customFormat="1" ht="12.75">
      <c r="B58" s="38" t="s">
        <v>37</v>
      </c>
      <c r="C58" s="66"/>
      <c r="D58" s="66"/>
      <c r="E58" s="67"/>
      <c r="F58" s="32">
        <f>IF(G45&lt;=0,G45,0)</f>
        <v>-372699.9700000002</v>
      </c>
      <c r="G58" s="41"/>
      <c r="H58" s="66"/>
      <c r="I58" s="66"/>
    </row>
    <row r="59" spans="2:9" s="33" customFormat="1" ht="12.75">
      <c r="B59" s="38"/>
      <c r="C59" s="66"/>
      <c r="D59" s="66"/>
      <c r="E59" s="67"/>
      <c r="F59" s="37"/>
      <c r="G59" s="41"/>
      <c r="H59" s="66"/>
      <c r="I59" s="66"/>
    </row>
    <row r="60" spans="2:9" s="33" customFormat="1" ht="12.75">
      <c r="B60" s="34" t="s">
        <v>65</v>
      </c>
      <c r="C60" s="66"/>
      <c r="D60" s="66"/>
      <c r="E60" s="67"/>
      <c r="F60" s="37"/>
      <c r="G60" s="31">
        <f>F62+F63</f>
        <v>390326</v>
      </c>
      <c r="H60" s="66"/>
      <c r="I60" s="66"/>
    </row>
    <row r="61" spans="2:9" ht="12.75">
      <c r="B61" s="30" t="s">
        <v>32</v>
      </c>
      <c r="C61" s="62"/>
      <c r="D61" s="62"/>
      <c r="E61" s="62"/>
      <c r="F61" s="11"/>
      <c r="G61" s="41"/>
      <c r="H61" s="62"/>
      <c r="I61" s="62"/>
    </row>
    <row r="62" spans="2:9" ht="12.75">
      <c r="B62" s="38" t="s">
        <v>36</v>
      </c>
      <c r="C62" s="62"/>
      <c r="D62" s="62"/>
      <c r="E62" s="62"/>
      <c r="F62" s="32">
        <f>IF((G30+G36)&gt;0,G30+G36,0)</f>
        <v>390326</v>
      </c>
      <c r="G62" s="62"/>
      <c r="H62" s="62"/>
      <c r="I62" s="62"/>
    </row>
    <row r="63" spans="2:9" ht="12.75">
      <c r="B63" s="38" t="s">
        <v>37</v>
      </c>
      <c r="C63" s="62"/>
      <c r="D63" s="62"/>
      <c r="E63" s="62"/>
      <c r="F63" s="32">
        <f>IF(G45&gt;0,G45,0)</f>
        <v>0</v>
      </c>
      <c r="G63" s="62"/>
      <c r="H63" s="62"/>
      <c r="I63" s="62"/>
    </row>
    <row r="64" spans="2:9" ht="12.75">
      <c r="B64" s="38"/>
      <c r="C64" s="62"/>
      <c r="D64" s="62"/>
      <c r="E64" s="62"/>
      <c r="F64" s="32"/>
      <c r="G64" s="62"/>
      <c r="H64" s="62"/>
      <c r="I64" s="62"/>
    </row>
    <row r="65" spans="2:9" ht="12.75">
      <c r="B65" s="49" t="s">
        <v>57</v>
      </c>
      <c r="C65" s="19"/>
      <c r="D65" s="19"/>
      <c r="E65" s="19"/>
      <c r="F65" s="11"/>
      <c r="G65" s="19"/>
      <c r="H65" s="19"/>
      <c r="I65" s="19"/>
    </row>
    <row r="66" spans="2:9" ht="12.75">
      <c r="B66" s="11" t="s">
        <v>58</v>
      </c>
      <c r="C66" s="19"/>
      <c r="D66" s="19"/>
      <c r="E66" s="48"/>
      <c r="F66" s="37"/>
      <c r="G66" s="31">
        <f>1220.87+400+700</f>
        <v>2320.87</v>
      </c>
      <c r="H66" s="19"/>
      <c r="I66" s="19"/>
    </row>
    <row r="67" spans="2:9" ht="12.75">
      <c r="B67" s="18"/>
      <c r="C67" s="19"/>
      <c r="D67" s="19"/>
      <c r="E67" s="19"/>
      <c r="F67" s="19"/>
      <c r="G67" s="19"/>
      <c r="H67" s="19"/>
      <c r="I67" s="19"/>
    </row>
    <row r="68" spans="2:9" ht="12.75">
      <c r="B68" s="38"/>
      <c r="C68" s="19"/>
      <c r="D68" s="19"/>
      <c r="E68" s="19"/>
      <c r="F68" s="32"/>
      <c r="G68" s="19"/>
      <c r="H68" s="19"/>
      <c r="I68" s="19"/>
    </row>
    <row r="69" spans="2:9" ht="15.75">
      <c r="B69" s="39" t="s">
        <v>49</v>
      </c>
      <c r="C69" s="19"/>
      <c r="D69" s="19"/>
      <c r="E69" s="19"/>
      <c r="F69" s="40">
        <f>G55+G60+G66</f>
        <v>19946.899999999794</v>
      </c>
      <c r="G69" s="40" t="s">
        <v>40</v>
      </c>
      <c r="H69" s="19"/>
      <c r="I69" s="19"/>
    </row>
    <row r="70" spans="2:9" ht="12.75">
      <c r="B70" s="24" t="s">
        <v>38</v>
      </c>
      <c r="C70" s="19"/>
      <c r="D70" s="19"/>
      <c r="E70" s="19"/>
      <c r="F70" s="32"/>
      <c r="G70" s="19"/>
      <c r="H70" s="19"/>
      <c r="I70" s="19"/>
    </row>
    <row r="71" spans="2:9" ht="12.75">
      <c r="B71" s="24" t="s">
        <v>39</v>
      </c>
      <c r="C71" s="19"/>
      <c r="D71" s="19"/>
      <c r="E71" s="19"/>
      <c r="F71" s="32"/>
      <c r="G71" s="19"/>
      <c r="H71" s="19"/>
      <c r="I71" s="19"/>
    </row>
    <row r="72" spans="2:9" ht="12.75">
      <c r="B72" s="38"/>
      <c r="C72" s="19"/>
      <c r="D72" s="19"/>
      <c r="E72" s="19"/>
      <c r="F72" s="32"/>
      <c r="G72" s="19"/>
      <c r="H72" s="19"/>
      <c r="I72" s="19"/>
    </row>
    <row r="73" spans="2:9" ht="15.75">
      <c r="B73" s="39" t="s">
        <v>50</v>
      </c>
      <c r="C73" s="19"/>
      <c r="D73" s="19"/>
      <c r="E73" s="19"/>
      <c r="F73" s="40">
        <f>G48</f>
        <v>-67307.62999999989</v>
      </c>
      <c r="G73" s="40" t="s">
        <v>40</v>
      </c>
      <c r="H73" s="19"/>
      <c r="I73" s="19"/>
    </row>
    <row r="74" spans="2:9" ht="12.75">
      <c r="B74" s="24" t="s">
        <v>52</v>
      </c>
      <c r="C74" s="19"/>
      <c r="D74" s="19"/>
      <c r="E74" s="19"/>
      <c r="F74" s="32"/>
      <c r="G74" s="19"/>
      <c r="H74" s="19"/>
      <c r="I74" s="19"/>
    </row>
    <row r="75" spans="2:9" ht="12.75">
      <c r="B75" s="24" t="s">
        <v>53</v>
      </c>
      <c r="C75" s="19"/>
      <c r="D75" s="19"/>
      <c r="E75" s="19"/>
      <c r="F75" s="32"/>
      <c r="G75" s="19"/>
      <c r="H75" s="19"/>
      <c r="I75" s="19"/>
    </row>
    <row r="76" spans="2:9" ht="12.75">
      <c r="B76" s="13"/>
      <c r="C76" s="19"/>
      <c r="D76" s="19"/>
      <c r="E76" s="19"/>
      <c r="F76" s="19"/>
      <c r="G76" s="19"/>
      <c r="H76" s="19"/>
      <c r="I76" s="19"/>
    </row>
    <row r="77" spans="2:9" ht="15.75">
      <c r="B77" s="39" t="s">
        <v>56</v>
      </c>
      <c r="C77" s="19"/>
      <c r="D77" s="19"/>
      <c r="E77" s="19"/>
      <c r="F77" s="40">
        <f>D6+F69</f>
        <v>177592.8399999998</v>
      </c>
      <c r="G77" s="40" t="s">
        <v>40</v>
      </c>
      <c r="H77" s="19"/>
      <c r="I77" s="19"/>
    </row>
    <row r="78" spans="2:9" ht="12.75">
      <c r="B78" s="24" t="s">
        <v>38</v>
      </c>
      <c r="C78" s="19"/>
      <c r="D78" s="19"/>
      <c r="E78" s="19"/>
      <c r="F78" s="32"/>
      <c r="G78" s="19"/>
      <c r="H78" s="19"/>
      <c r="I78" s="19"/>
    </row>
    <row r="79" spans="2:9" ht="12.75">
      <c r="B79" s="24" t="s">
        <v>39</v>
      </c>
      <c r="C79" s="19"/>
      <c r="D79" s="19"/>
      <c r="E79" s="19"/>
      <c r="F79" s="32"/>
      <c r="G79" s="19"/>
      <c r="H79" s="19"/>
      <c r="I79" s="19"/>
    </row>
    <row r="80" spans="2:9" ht="12.75">
      <c r="B80" s="38"/>
      <c r="C80" s="19"/>
      <c r="D80" s="19"/>
      <c r="E80" s="19"/>
      <c r="F80" s="32"/>
      <c r="G80" s="19"/>
      <c r="H80" s="19"/>
      <c r="I80" s="19"/>
    </row>
    <row r="81" spans="2:9" ht="15.75">
      <c r="B81" s="39" t="s">
        <v>51</v>
      </c>
      <c r="C81" s="19"/>
      <c r="D81" s="19"/>
      <c r="E81" s="19"/>
      <c r="F81" s="40">
        <f>-499420.22-209297.14</f>
        <v>-708717.36</v>
      </c>
      <c r="G81" s="40" t="s">
        <v>40</v>
      </c>
      <c r="H81" s="19"/>
      <c r="I81" s="19"/>
    </row>
    <row r="82" spans="2:9" ht="12.75">
      <c r="B82" s="24" t="s">
        <v>52</v>
      </c>
      <c r="C82" s="19"/>
      <c r="D82" s="19"/>
      <c r="E82" s="19"/>
      <c r="F82" s="32"/>
      <c r="G82" s="19"/>
      <c r="H82" s="19"/>
      <c r="I82" s="19"/>
    </row>
    <row r="83" spans="2:9" ht="12.75">
      <c r="B83" s="24" t="s">
        <v>53</v>
      </c>
      <c r="C83" s="19"/>
      <c r="D83" s="19"/>
      <c r="E83" s="19"/>
      <c r="F83" s="32"/>
      <c r="G83" s="19"/>
      <c r="H83" s="19"/>
      <c r="I83" s="19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1:3" s="11" customFormat="1" ht="12.75">
      <c r="A86" s="37"/>
      <c r="C86" s="21" t="s">
        <v>20</v>
      </c>
    </row>
    <row r="87" spans="2:9" ht="12.75">
      <c r="B87" s="11"/>
      <c r="C87" s="62"/>
      <c r="D87" s="62"/>
      <c r="E87" s="62"/>
      <c r="F87" s="62"/>
      <c r="G87" s="62"/>
      <c r="H87" s="62"/>
      <c r="I87" s="62"/>
    </row>
    <row r="88" spans="2:6" ht="15">
      <c r="B88" s="17"/>
      <c r="C88" s="16"/>
      <c r="D88" s="16"/>
      <c r="E88" s="16"/>
      <c r="F88" s="16"/>
    </row>
    <row r="89" spans="2:6" ht="14.25">
      <c r="B89" s="16"/>
      <c r="C89" s="16"/>
      <c r="D89" s="16"/>
      <c r="E89" s="16"/>
      <c r="F89" s="16"/>
    </row>
    <row r="90" spans="2:6" ht="14.25">
      <c r="B90" s="16"/>
      <c r="C90" s="16"/>
      <c r="D90" s="16"/>
      <c r="E90" s="16"/>
      <c r="F90" s="16"/>
    </row>
    <row r="91" spans="2:6" ht="14.25">
      <c r="B91" s="16"/>
      <c r="C91" s="16"/>
      <c r="D91" s="16"/>
      <c r="E91" s="16"/>
      <c r="F91" s="16"/>
    </row>
    <row r="92" spans="2:6" ht="14.25">
      <c r="B92" s="16"/>
      <c r="C92" s="16"/>
      <c r="D92" s="16"/>
      <c r="E92" s="16"/>
      <c r="F92" s="16"/>
    </row>
    <row r="93" spans="2:6" ht="14.25">
      <c r="B93" s="16"/>
      <c r="C93" s="16"/>
      <c r="D93" s="16"/>
      <c r="E93" s="16"/>
      <c r="F93" s="16"/>
    </row>
    <row r="94" spans="2:6" ht="14.25">
      <c r="B94" s="16"/>
      <c r="C94" s="16"/>
      <c r="D94" s="16"/>
      <c r="E94" s="16"/>
      <c r="F94" s="16"/>
    </row>
    <row r="95" spans="2:6" ht="14.25">
      <c r="B95" s="16"/>
      <c r="C95" s="16"/>
      <c r="D95" s="16"/>
      <c r="E95" s="16"/>
      <c r="F95" s="16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36">
      <selection activeCell="L45" sqref="L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100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9746.86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'[26]Sheet1'!$N$15</f>
        <v>268937</v>
      </c>
      <c r="D15" s="50">
        <f>'[26]Sheet1'!$R$15</f>
        <v>246289</v>
      </c>
      <c r="E15" s="50">
        <f>D15-C15</f>
        <v>-22648</v>
      </c>
      <c r="F15" s="50">
        <f>'[26]Sheet1'!$T$15</f>
        <v>268937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268937</v>
      </c>
      <c r="D18" s="26">
        <f>D15</f>
        <v>246289</v>
      </c>
      <c r="E18" s="26">
        <f>E15</f>
        <v>-22648</v>
      </c>
      <c r="F18" s="26">
        <f>F15</f>
        <v>268937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'[26]Sheet1'!$N$18</f>
        <v>95289</v>
      </c>
      <c r="D21" s="25">
        <f>'[26]Sheet1'!$R$18</f>
        <v>87265</v>
      </c>
      <c r="E21" s="25">
        <f>D21-C21</f>
        <v>-8024</v>
      </c>
      <c r="F21" s="25">
        <f>'[26]Sheet1'!$T$18</f>
        <v>95289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'[26]Sheet1'!$N$19</f>
        <v>8764</v>
      </c>
      <c r="D22" s="25">
        <f>'[26]Sheet1'!$R$19</f>
        <v>8026</v>
      </c>
      <c r="E22" s="25">
        <f>D22-C22</f>
        <v>-738</v>
      </c>
      <c r="F22" s="25">
        <f>'[26]Sheet1'!$T$19</f>
        <v>8764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'[26]Sheet1'!$N$20</f>
        <v>19836</v>
      </c>
      <c r="D23" s="25">
        <f>'[26]Sheet1'!$R$20</f>
        <v>18166</v>
      </c>
      <c r="E23" s="25">
        <f>D23-C23</f>
        <v>-1670</v>
      </c>
      <c r="F23" s="25">
        <f>'[26]Sheet1'!$T$20</f>
        <v>19836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'[26]Sheet1'!$K$22</f>
        <v>30638</v>
      </c>
      <c r="D24" s="25">
        <f>'[26]Sheet1'!$R$22</f>
        <v>28058</v>
      </c>
      <c r="E24" s="25">
        <f>D24-C24</f>
        <v>-2580</v>
      </c>
      <c r="F24" s="25">
        <f>'[26]Sheet1'!$T$22</f>
        <v>16356</v>
      </c>
      <c r="G24" s="25">
        <f>C24-F24</f>
        <v>14282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f>C26</f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'[26]Sheet1'!$N$26</f>
        <v>176642</v>
      </c>
      <c r="D27" s="25">
        <f>'[26]Sheet1'!$R$26</f>
        <v>161767</v>
      </c>
      <c r="E27" s="25">
        <f>D27-C27</f>
        <v>-14875</v>
      </c>
      <c r="F27" s="25">
        <f>'[26]Sheet1'!$T$26</f>
        <v>176642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'[26]Sheet1'!$N$41+'[26]Sheet1'!$N$42</f>
        <v>29136</v>
      </c>
      <c r="D28" s="25">
        <f>'[26]Sheet1'!$R$41+'[26]Sheet1'!$R$42</f>
        <v>26683</v>
      </c>
      <c r="E28" s="25">
        <f>D28-C28</f>
        <v>-2453</v>
      </c>
      <c r="F28" s="25">
        <f>'[26]Sheet1'!$T$41+'[26]Sheet1'!$T$42</f>
        <v>29136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360305</v>
      </c>
      <c r="D29" s="26">
        <f>SUM(D20:D28)</f>
        <v>329965</v>
      </c>
      <c r="E29" s="26">
        <f>SUM(E20:E28)</f>
        <v>-30340</v>
      </c>
      <c r="F29" s="26">
        <f>SUM(F20:F28)</f>
        <v>346023</v>
      </c>
      <c r="G29" s="26">
        <f>SUM(G20:G28)</f>
        <v>14282</v>
      </c>
      <c r="H29" s="62"/>
      <c r="I29" s="62"/>
    </row>
    <row r="30" spans="2:9" ht="13.5" thickBot="1">
      <c r="B30" s="7" t="s">
        <v>15</v>
      </c>
      <c r="C30" s="26">
        <f>C18+C29</f>
        <v>629242</v>
      </c>
      <c r="D30" s="26">
        <f>D18+D29</f>
        <v>576254</v>
      </c>
      <c r="E30" s="26">
        <f>E18+E29</f>
        <v>-52988</v>
      </c>
      <c r="F30" s="26">
        <f>F18+F29</f>
        <v>614960</v>
      </c>
      <c r="G30" s="26">
        <f>G18+G29</f>
        <v>14282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'[26]Sheet1'!$N$12</f>
        <v>442828</v>
      </c>
      <c r="D35" s="28">
        <f>'[26]Sheet1'!$R$12</f>
        <v>405537</v>
      </c>
      <c r="E35" s="28">
        <f>D35-C35</f>
        <v>-37291</v>
      </c>
      <c r="F35" s="28">
        <f>'[26]Sheet1'!$U$12</f>
        <v>146397</v>
      </c>
      <c r="G35" s="28">
        <f>C35-F35</f>
        <v>296431</v>
      </c>
      <c r="H35" s="65"/>
      <c r="I35" s="62"/>
    </row>
    <row r="36" spans="2:9" ht="13.5" thickBot="1">
      <c r="B36" s="6" t="s">
        <v>18</v>
      </c>
      <c r="C36" s="29">
        <f>C35</f>
        <v>442828</v>
      </c>
      <c r="D36" s="29">
        <f>D35</f>
        <v>405537</v>
      </c>
      <c r="E36" s="29">
        <f>E35</f>
        <v>-37291</v>
      </c>
      <c r="F36" s="29">
        <f>F35</f>
        <v>146397</v>
      </c>
      <c r="G36" s="29">
        <f>G35</f>
        <v>296431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'[26]Sheet1'!$N$33</f>
        <v>618675</v>
      </c>
      <c r="D41" s="50">
        <f>'[26]Sheet1'!$R$33</f>
        <v>566576</v>
      </c>
      <c r="E41" s="50">
        <f>D41-C41</f>
        <v>-52099</v>
      </c>
      <c r="F41" s="50">
        <f>'[26]Sheet1'!$T$33</f>
        <v>866041</v>
      </c>
      <c r="G41" s="50">
        <f>C41-F41</f>
        <v>-247366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2111249.75-336978.52</f>
        <v>1774271.23</v>
      </c>
      <c r="D43" s="50">
        <v>1802814</v>
      </c>
      <c r="E43" s="50">
        <f>D43-C43</f>
        <v>28542.77000000002</v>
      </c>
      <c r="F43" s="50">
        <v>1771609.74</v>
      </c>
      <c r="G43" s="50">
        <f>C43-F43</f>
        <v>2661.4899999999907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2392946.23</v>
      </c>
      <c r="D45" s="29">
        <f>D41+D43</f>
        <v>2369390</v>
      </c>
      <c r="E45" s="29">
        <f>E41+E43</f>
        <v>-23556.22999999998</v>
      </c>
      <c r="F45" s="29">
        <f>F41+F43</f>
        <v>2637650.74</v>
      </c>
      <c r="G45" s="29">
        <f>G41+G43</f>
        <v>-244704.51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-113835.22999999998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-90279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-23556.22999999998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-244704.51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-244704.51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310713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310713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68329.35999999999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-113835.22999999998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78076.21999999999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-685510.28-294370.68</f>
        <v>-979880.96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1:3" s="11" customFormat="1" ht="12.75">
      <c r="A84" s="37"/>
      <c r="C84" s="21" t="s">
        <v>20</v>
      </c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2:6" ht="15">
      <c r="B86" s="17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40">
      <selection activeCell="D45" sqref="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102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12" customHeight="1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93853.85999999999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4.25">
      <c r="B9" s="24"/>
      <c r="C9" s="16"/>
      <c r="D9" s="16"/>
      <c r="E9" s="16"/>
      <c r="F9" s="16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'[27]Sheet1'!$N$15</f>
        <v>188268</v>
      </c>
      <c r="D14" s="50">
        <f>'[27]Sheet1'!$R$15</f>
        <v>174434</v>
      </c>
      <c r="E14" s="50">
        <f>D14-C14</f>
        <v>-13834</v>
      </c>
      <c r="F14" s="50">
        <f>'[27]Sheet1'!$T$15</f>
        <v>188268</v>
      </c>
      <c r="G14" s="50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52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53"/>
      <c r="H16" s="62"/>
      <c r="I16" s="62"/>
    </row>
    <row r="17" spans="2:9" ht="13.5" thickBot="1">
      <c r="B17" s="6" t="s">
        <v>7</v>
      </c>
      <c r="C17" s="26">
        <f>C14</f>
        <v>188268</v>
      </c>
      <c r="D17" s="26">
        <f>D14</f>
        <v>174434</v>
      </c>
      <c r="E17" s="26">
        <f>E14</f>
        <v>-13834</v>
      </c>
      <c r="F17" s="26">
        <f>F14</f>
        <v>188268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4.75" customHeight="1" thickBot="1">
      <c r="B19" s="10" t="s">
        <v>70</v>
      </c>
      <c r="C19" s="25">
        <f>'[27]Sheet1'!$N$17</f>
        <v>62549</v>
      </c>
      <c r="D19" s="25">
        <f>'[27]Sheet1'!$R$17</f>
        <v>57952</v>
      </c>
      <c r="E19" s="25">
        <f>D19-C19</f>
        <v>-4597</v>
      </c>
      <c r="F19" s="25">
        <f>C19</f>
        <v>62549</v>
      </c>
      <c r="G19" s="25">
        <f>C19-F19</f>
        <v>0</v>
      </c>
      <c r="H19" s="62"/>
      <c r="I19" s="62"/>
    </row>
    <row r="20" spans="2:9" ht="24.75" customHeight="1" thickBot="1">
      <c r="B20" s="10" t="s">
        <v>9</v>
      </c>
      <c r="C20" s="25">
        <f>'[27]Sheet1'!$N$18</f>
        <v>37085</v>
      </c>
      <c r="D20" s="25">
        <f>'[27]Sheet1'!$R$18</f>
        <v>34360</v>
      </c>
      <c r="E20" s="25">
        <f>D20-C20</f>
        <v>-2725</v>
      </c>
      <c r="F20" s="25">
        <f>'[27]Sheet1'!$T$18</f>
        <v>37085</v>
      </c>
      <c r="G20" s="25">
        <f>C20-F20</f>
        <v>0</v>
      </c>
      <c r="H20" s="62"/>
      <c r="I20" s="62"/>
    </row>
    <row r="21" spans="2:9" ht="14.25" customHeight="1" thickBot="1">
      <c r="B21" s="10" t="s">
        <v>10</v>
      </c>
      <c r="C21" s="25">
        <f>'[27]Sheet1'!$N$19</f>
        <v>2466</v>
      </c>
      <c r="D21" s="25">
        <f>'[27]Sheet1'!$R$19</f>
        <v>2285</v>
      </c>
      <c r="E21" s="25">
        <f>D21-C21</f>
        <v>-181</v>
      </c>
      <c r="F21" s="25">
        <f>'[27]Sheet1'!$T$19</f>
        <v>2466</v>
      </c>
      <c r="G21" s="25">
        <f>C21-F21</f>
        <v>0</v>
      </c>
      <c r="H21" s="62"/>
      <c r="I21" s="62"/>
    </row>
    <row r="22" spans="2:9" ht="15" customHeight="1" thickBot="1">
      <c r="B22" s="10" t="s">
        <v>11</v>
      </c>
      <c r="C22" s="25">
        <f>'[27]Sheet1'!$N$20</f>
        <v>10974</v>
      </c>
      <c r="D22" s="25">
        <f>'[27]Sheet1'!$R$20</f>
        <v>10168</v>
      </c>
      <c r="E22" s="25">
        <f>D22-C22</f>
        <v>-806</v>
      </c>
      <c r="F22" s="25">
        <f>'[27]Sheet1'!$T$20</f>
        <v>10974</v>
      </c>
      <c r="G22" s="25">
        <f>C22-F22</f>
        <v>0</v>
      </c>
      <c r="H22" s="62"/>
      <c r="I22" s="62"/>
    </row>
    <row r="23" spans="2:9" ht="25.5" customHeight="1" thickBot="1">
      <c r="B23" s="10" t="s">
        <v>12</v>
      </c>
      <c r="C23" s="25">
        <f>'[27]Sheet1'!$N$22+'[27]Sheet1'!$N$23</f>
        <v>45843</v>
      </c>
      <c r="D23" s="25">
        <f>'[27]Sheet1'!$R$22+'[27]Sheet1'!$R$23</f>
        <v>42474</v>
      </c>
      <c r="E23" s="25">
        <f>D23-C23</f>
        <v>-3369</v>
      </c>
      <c r="F23" s="25">
        <f>'[27]Sheet1'!$T$22+'[27]Sheet1'!$T$23</f>
        <v>48877</v>
      </c>
      <c r="G23" s="25">
        <f>C23-F23</f>
        <v>-3034</v>
      </c>
      <c r="H23" s="62"/>
      <c r="I23" s="62"/>
    </row>
    <row r="24" spans="2:9" ht="17.25" customHeight="1" thickBot="1">
      <c r="B24" s="10" t="s">
        <v>60</v>
      </c>
      <c r="C24" s="25">
        <f>'[27]Sheet1'!$N$25</f>
        <v>186857</v>
      </c>
      <c r="D24" s="25">
        <f>'[27]Sheet1'!$R$25</f>
        <v>173126</v>
      </c>
      <c r="E24" s="25">
        <f>D24-C24</f>
        <v>-13731</v>
      </c>
      <c r="F24" s="25">
        <f>C24</f>
        <v>186857</v>
      </c>
      <c r="G24" s="25">
        <f>C24-F24</f>
        <v>0</v>
      </c>
      <c r="H24" s="62"/>
      <c r="I24" s="62"/>
    </row>
    <row r="25" spans="2:9" ht="17.25" customHeight="1" thickBot="1">
      <c r="B25" s="10" t="s">
        <v>61</v>
      </c>
      <c r="C25" s="25">
        <f>'[27]Sheet1'!$N$24</f>
        <v>50275</v>
      </c>
      <c r="D25" s="25">
        <f>'[27]Sheet1'!$R$24</f>
        <v>46581</v>
      </c>
      <c r="E25" s="25">
        <f>D25-C25</f>
        <v>-3694</v>
      </c>
      <c r="F25" s="25">
        <f>C25</f>
        <v>50275</v>
      </c>
      <c r="G25" s="25">
        <f>C25-F25</f>
        <v>0</v>
      </c>
      <c r="H25" s="62"/>
      <c r="I25" s="62"/>
    </row>
    <row r="26" spans="2:9" ht="25.5" customHeight="1" thickBot="1">
      <c r="B26" s="10" t="s">
        <v>13</v>
      </c>
      <c r="C26" s="25">
        <f>'[27]Sheet1'!$N$26</f>
        <v>104245</v>
      </c>
      <c r="D26" s="25">
        <f>'[27]Sheet1'!$R$26</f>
        <v>96585</v>
      </c>
      <c r="E26" s="25">
        <f>D26-C26</f>
        <v>-7660</v>
      </c>
      <c r="F26" s="25">
        <f>'[27]Sheet1'!$T$26</f>
        <v>104245</v>
      </c>
      <c r="G26" s="25">
        <f>C26-F26</f>
        <v>0</v>
      </c>
      <c r="H26" s="62"/>
      <c r="I26" s="62"/>
    </row>
    <row r="27" spans="2:9" ht="25.5" customHeight="1" thickBot="1">
      <c r="B27" s="10" t="s">
        <v>101</v>
      </c>
      <c r="C27" s="25">
        <v>0</v>
      </c>
      <c r="D27" s="25">
        <v>0</v>
      </c>
      <c r="E27" s="25">
        <f>D27-C27</f>
        <v>0</v>
      </c>
      <c r="F27" s="25">
        <f>C27</f>
        <v>0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'[27]Sheet1'!$N$41+'[27]Sheet1'!$N$42</f>
        <v>10913</v>
      </c>
      <c r="D28" s="25">
        <f>'[27]Sheet1'!$R$41+'[27]Sheet1'!$R$42</f>
        <v>10112</v>
      </c>
      <c r="E28" s="25">
        <f>D28-C28</f>
        <v>-801</v>
      </c>
      <c r="F28" s="25">
        <f>'[27]Sheet1'!$T$41+'[27]Sheet1'!$T$42</f>
        <v>10913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SUM(C19:C28)</f>
        <v>511207</v>
      </c>
      <c r="D29" s="26">
        <f>SUM(D19:D28)</f>
        <v>473643</v>
      </c>
      <c r="E29" s="26">
        <f>SUM(E19:E28)</f>
        <v>-37564</v>
      </c>
      <c r="F29" s="26">
        <f>SUM(F19:F28)</f>
        <v>514241</v>
      </c>
      <c r="G29" s="26">
        <f>SUM(G19:G28)</f>
        <v>-3034</v>
      </c>
      <c r="H29" s="62"/>
      <c r="I29" s="62"/>
    </row>
    <row r="30" spans="2:9" ht="13.5" thickBot="1">
      <c r="B30" s="7" t="s">
        <v>15</v>
      </c>
      <c r="C30" s="26">
        <f>C17+C29</f>
        <v>699475</v>
      </c>
      <c r="D30" s="26">
        <f>D17+D29</f>
        <v>648077</v>
      </c>
      <c r="E30" s="26">
        <f>E17+E29</f>
        <v>-51398</v>
      </c>
      <c r="F30" s="26">
        <f>F17+F29</f>
        <v>702509</v>
      </c>
      <c r="G30" s="26">
        <f>G17+G29</f>
        <v>-3034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'[27]Sheet1'!$N$12</f>
        <v>229275</v>
      </c>
      <c r="D35" s="28">
        <f>'[27]Sheet1'!$R$12</f>
        <v>212427</v>
      </c>
      <c r="E35" s="28">
        <f>D35-C35</f>
        <v>-16848</v>
      </c>
      <c r="F35" s="28">
        <f>'[27]Sheet1'!$U$12</f>
        <v>111028</v>
      </c>
      <c r="G35" s="28">
        <f>C35-F35</f>
        <v>118247</v>
      </c>
      <c r="H35" s="65"/>
      <c r="I35" s="62"/>
    </row>
    <row r="36" spans="2:9" ht="13.5" thickBot="1">
      <c r="B36" s="6" t="s">
        <v>18</v>
      </c>
      <c r="C36" s="29">
        <f>C35</f>
        <v>229275</v>
      </c>
      <c r="D36" s="29">
        <f>D35</f>
        <v>212427</v>
      </c>
      <c r="E36" s="29">
        <f>E35</f>
        <v>-16848</v>
      </c>
      <c r="F36" s="29">
        <f>F35</f>
        <v>111028</v>
      </c>
      <c r="G36" s="29">
        <f>G35</f>
        <v>118247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46</v>
      </c>
      <c r="C41" s="50">
        <f>'[27]Sheet1'!$N$33</f>
        <v>286705</v>
      </c>
      <c r="D41" s="50">
        <f>'[27]Sheet1'!$R$33</f>
        <v>265638</v>
      </c>
      <c r="E41" s="50">
        <f>D41-C41</f>
        <v>-21067</v>
      </c>
      <c r="F41" s="50">
        <f>'[27]Sheet1'!$T$33</f>
        <v>294563</v>
      </c>
      <c r="G41" s="50">
        <f>C41-F41</f>
        <v>-7858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910985.29-236407.78</f>
        <v>674577.51</v>
      </c>
      <c r="D43" s="50">
        <v>775366.41</v>
      </c>
      <c r="E43" s="50">
        <f>D43-C43</f>
        <v>100788.90000000002</v>
      </c>
      <c r="F43" s="50">
        <f>'[27]Sheet1'!$T$36</f>
        <v>877480</v>
      </c>
      <c r="G43" s="50">
        <f>C43-F43</f>
        <v>-202902.49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961282.51</v>
      </c>
      <c r="D45" s="29">
        <f>D41+D43</f>
        <v>1041004.41</v>
      </c>
      <c r="E45" s="29">
        <f>E41+E43</f>
        <v>79721.90000000002</v>
      </c>
      <c r="F45" s="29">
        <f>F41+F43</f>
        <v>1172043</v>
      </c>
      <c r="G45" s="29">
        <f>G41+G43</f>
        <v>-210760.49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11475.900000000023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-68246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79721.90000000002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-210760.49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-210760.49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115213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115213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1220.87+400+700+2400*2</f>
        <v>7120.87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-88426.62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11475.900000000023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D5+F67</f>
        <v>5427.239999999991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-686695.89-246921.15</f>
        <v>-933617.04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G43:G44"/>
    <mergeCell ref="F41:F42"/>
    <mergeCell ref="G14:G16"/>
    <mergeCell ref="C43:C44"/>
    <mergeCell ref="D43:D44"/>
    <mergeCell ref="F43:F44"/>
    <mergeCell ref="C41:C42"/>
    <mergeCell ref="D41:D42"/>
    <mergeCell ref="E43:E44"/>
    <mergeCell ref="B43:B44"/>
    <mergeCell ref="B13:G13"/>
    <mergeCell ref="B18:G18"/>
    <mergeCell ref="E41:E42"/>
    <mergeCell ref="C14:C16"/>
    <mergeCell ref="D14:D16"/>
    <mergeCell ref="E14:E16"/>
    <mergeCell ref="F14:F16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38">
      <selection activeCell="I45" sqref="I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15"/>
      <c r="D1" s="15"/>
      <c r="E1" s="15"/>
      <c r="F1" s="15"/>
    </row>
    <row r="2" spans="1:6" ht="18.75">
      <c r="A2" s="42"/>
      <c r="B2" s="15"/>
      <c r="D2" s="2" t="s">
        <v>103</v>
      </c>
      <c r="E2" s="15"/>
      <c r="F2" s="15"/>
    </row>
    <row r="3" spans="2:6" ht="18.75">
      <c r="B3" s="15"/>
      <c r="D3" s="3" t="s">
        <v>45</v>
      </c>
      <c r="E3" s="15"/>
      <c r="F3" s="15"/>
    </row>
    <row r="4" spans="2:6" ht="9.75" customHeight="1">
      <c r="B4" s="12"/>
      <c r="C4" s="14"/>
      <c r="D4" s="14"/>
      <c r="E4" s="14"/>
      <c r="F4" s="14"/>
    </row>
    <row r="5" spans="2:6" ht="12" customHeight="1">
      <c r="B5" s="12"/>
      <c r="C5" s="14"/>
      <c r="D5" s="14"/>
      <c r="E5" s="14"/>
      <c r="F5" s="14"/>
    </row>
    <row r="6" spans="2:6" ht="15.75">
      <c r="B6" s="46" t="s">
        <v>54</v>
      </c>
      <c r="C6" s="14"/>
      <c r="D6" s="47">
        <v>50307.76000000001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'[28]Sheet1'!$N$15</f>
        <v>121859</v>
      </c>
      <c r="D15" s="50">
        <f>'[28]Sheet1'!$R$15</f>
        <v>126854</v>
      </c>
      <c r="E15" s="50">
        <f>D15-C15</f>
        <v>4995</v>
      </c>
      <c r="F15" s="50">
        <f>'[28]Sheet1'!$T$15</f>
        <v>121859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121859</v>
      </c>
      <c r="D18" s="26">
        <f>D15</f>
        <v>126854</v>
      </c>
      <c r="E18" s="26">
        <f>E15</f>
        <v>4995</v>
      </c>
      <c r="F18" s="26">
        <f>F15</f>
        <v>121859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'[28]Sheet1'!$N$18</f>
        <v>44321</v>
      </c>
      <c r="D21" s="25">
        <f>'[28]Sheet1'!$R$18</f>
        <v>46138</v>
      </c>
      <c r="E21" s="25">
        <f>D21-C21</f>
        <v>1817</v>
      </c>
      <c r="F21" s="25">
        <f>'[28]Sheet1'!$T$18</f>
        <v>44321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'[28]Sheet1'!$N$19</f>
        <v>4082</v>
      </c>
      <c r="D22" s="25">
        <f>'[28]Sheet1'!$R$19</f>
        <v>4249</v>
      </c>
      <c r="E22" s="25">
        <f>D22-C22</f>
        <v>167</v>
      </c>
      <c r="F22" s="25">
        <f>'[28]Sheet1'!$T$19</f>
        <v>4082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'[28]Sheet1'!$N$20</f>
        <v>9239</v>
      </c>
      <c r="D23" s="25">
        <f>'[28]Sheet1'!$R$20</f>
        <v>9618</v>
      </c>
      <c r="E23" s="25">
        <f>D23-C23</f>
        <v>379</v>
      </c>
      <c r="F23" s="25">
        <f>'[28]Sheet1'!$T$20</f>
        <v>9239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'[28]Sheet1'!$K$22</f>
        <v>14519</v>
      </c>
      <c r="D24" s="25">
        <f>'[28]Sheet1'!$R$22</f>
        <v>15114</v>
      </c>
      <c r="E24" s="25">
        <f>D24-C24</f>
        <v>595</v>
      </c>
      <c r="F24" s="25">
        <f>'[28]Sheet1'!$T$22</f>
        <v>22895</v>
      </c>
      <c r="G24" s="25">
        <f>C24-F24</f>
        <v>-8376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'[28]Sheet1'!$N$26</f>
        <v>82241</v>
      </c>
      <c r="D27" s="25">
        <f>'[28]Sheet1'!$R$26</f>
        <v>85613</v>
      </c>
      <c r="E27" s="25">
        <f>D27-C27</f>
        <v>3372</v>
      </c>
      <c r="F27" s="25">
        <f>'[28]Sheet1'!$T$26</f>
        <v>82241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'[28]Sheet1'!$N$41+'[28]Sheet1'!$N$42</f>
        <v>13542</v>
      </c>
      <c r="D28" s="25">
        <f>'[28]Sheet1'!$R$41+'[28]Sheet1'!$R$42</f>
        <v>14097</v>
      </c>
      <c r="E28" s="25">
        <f>D28-C28</f>
        <v>555</v>
      </c>
      <c r="F28" s="25">
        <f>'[28]Sheet1'!$T$41+'[28]Sheet1'!$T$42</f>
        <v>13542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167944</v>
      </c>
      <c r="D29" s="26">
        <f>SUM(D20:D28)</f>
        <v>174829</v>
      </c>
      <c r="E29" s="26">
        <f>SUM(E20:E28)</f>
        <v>6885</v>
      </c>
      <c r="F29" s="26">
        <f>SUM(F20:F28)</f>
        <v>176320</v>
      </c>
      <c r="G29" s="26">
        <f>SUM(G20:G28)</f>
        <v>-8376</v>
      </c>
      <c r="H29" s="62"/>
      <c r="I29" s="62"/>
    </row>
    <row r="30" spans="2:9" ht="13.5" thickBot="1">
      <c r="B30" s="7" t="s">
        <v>15</v>
      </c>
      <c r="C30" s="26">
        <f>C18+C29</f>
        <v>289803</v>
      </c>
      <c r="D30" s="26">
        <f>D18+D29</f>
        <v>301683</v>
      </c>
      <c r="E30" s="26">
        <f>E18+E29</f>
        <v>11880</v>
      </c>
      <c r="F30" s="26">
        <f>F18+F29</f>
        <v>298179</v>
      </c>
      <c r="G30" s="26">
        <f>G18+G29</f>
        <v>-8376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'[28]Sheet1'!$N$12</f>
        <v>204028</v>
      </c>
      <c r="D35" s="28">
        <f>'[28]Sheet1'!$R$12</f>
        <v>212392</v>
      </c>
      <c r="E35" s="28">
        <f>D35-C35</f>
        <v>8364</v>
      </c>
      <c r="F35" s="28">
        <f>'[28]Sheet1'!$U$12-109023</f>
        <v>113991</v>
      </c>
      <c r="G35" s="28">
        <f>C35-F35</f>
        <v>90037</v>
      </c>
      <c r="H35" s="65"/>
      <c r="I35" s="62"/>
    </row>
    <row r="36" spans="2:9" ht="13.5" thickBot="1">
      <c r="B36" s="6" t="s">
        <v>18</v>
      </c>
      <c r="C36" s="29">
        <f>C35</f>
        <v>204028</v>
      </c>
      <c r="D36" s="29">
        <f>D35</f>
        <v>212392</v>
      </c>
      <c r="E36" s="29">
        <f>E35</f>
        <v>8364</v>
      </c>
      <c r="F36" s="29">
        <f>F35</f>
        <v>113991</v>
      </c>
      <c r="G36" s="29">
        <f>G35</f>
        <v>90037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'[28]Sheet1'!$N$33</f>
        <v>286642</v>
      </c>
      <c r="D41" s="50">
        <f>'[28]Sheet1'!$R$33</f>
        <v>298393</v>
      </c>
      <c r="E41" s="50">
        <f>D41-C41</f>
        <v>11751</v>
      </c>
      <c r="F41" s="50">
        <f>'[28]Sheet1'!$T$33</f>
        <v>453969</v>
      </c>
      <c r="G41" s="50">
        <f>C41-F41</f>
        <v>-167327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990302.98-77239.6</f>
        <v>913063.38</v>
      </c>
      <c r="D43" s="50">
        <v>967996.86</v>
      </c>
      <c r="E43" s="50">
        <f>D43-C43</f>
        <v>54933.47999999998</v>
      </c>
      <c r="F43" s="50">
        <f>'[28]Sheet1'!$T$36</f>
        <v>761103</v>
      </c>
      <c r="G43" s="50">
        <f>C43-F43</f>
        <v>151960.38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1199705.38</v>
      </c>
      <c r="D45" s="29">
        <f>D41+D43</f>
        <v>1266389.8599999999</v>
      </c>
      <c r="E45" s="29">
        <f>E41+E43</f>
        <v>66684.47999999998</v>
      </c>
      <c r="F45" s="29">
        <f>F41+F43</f>
        <v>1215072</v>
      </c>
      <c r="G45" s="29">
        <f>G41+G43</f>
        <v>-15366.619999999995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86928.47999999998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20244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66684.47999999998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-15366.619999999995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-15366.619999999995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81661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81661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68615.25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86928.47999999998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118923.01000000001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-34733.33-174331.56</f>
        <v>-209064.89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6" ht="15">
      <c r="B85" s="17"/>
      <c r="C85" s="16"/>
      <c r="D85" s="16"/>
      <c r="E85" s="16"/>
      <c r="F85" s="16"/>
    </row>
    <row r="86" spans="2:6" ht="14.25">
      <c r="B86" s="16"/>
      <c r="C86" s="16"/>
      <c r="D86" s="16"/>
      <c r="E86" s="16"/>
      <c r="F86" s="16"/>
    </row>
    <row r="87" spans="2:6" ht="14.25">
      <c r="B87" s="16"/>
      <c r="C87" s="16"/>
      <c r="D87" s="16"/>
      <c r="E87" s="16"/>
      <c r="F87" s="16"/>
    </row>
    <row r="88" spans="2:6" ht="14.25">
      <c r="B88" s="16"/>
      <c r="C88" s="16"/>
      <c r="D88" s="16"/>
      <c r="E88" s="16"/>
      <c r="F88" s="16"/>
    </row>
    <row r="89" spans="2:6" ht="14.25">
      <c r="B89" s="16"/>
      <c r="C89" s="16"/>
      <c r="D89" s="16"/>
      <c r="E89" s="16"/>
      <c r="F89" s="16"/>
    </row>
    <row r="90" spans="2:6" ht="14.25">
      <c r="B90" s="16"/>
      <c r="C90" s="16"/>
      <c r="D90" s="16"/>
      <c r="E90" s="16"/>
      <c r="F90" s="16"/>
    </row>
    <row r="91" spans="2:6" ht="14.25">
      <c r="B91" s="16"/>
      <c r="C91" s="16"/>
      <c r="D91" s="16"/>
      <c r="E91" s="16"/>
      <c r="F91" s="16"/>
    </row>
    <row r="92" spans="2:6" ht="14.25">
      <c r="B92" s="16"/>
      <c r="C92" s="16"/>
      <c r="D92" s="16"/>
      <c r="E92" s="16"/>
      <c r="F92" s="16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28">
      <selection activeCell="J35" sqref="J3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104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269682.42000000004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'[29]Sheet1'!$N$15</f>
        <v>239061</v>
      </c>
      <c r="D15" s="50">
        <f>'[29]Sheet1'!$R$15</f>
        <v>242583</v>
      </c>
      <c r="E15" s="50">
        <f>D15-C15</f>
        <v>3522</v>
      </c>
      <c r="F15" s="50">
        <f>'[29]Sheet1'!$T$15</f>
        <v>239061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239061</v>
      </c>
      <c r="D18" s="26">
        <f>D15</f>
        <v>242583</v>
      </c>
      <c r="E18" s="26">
        <f>E15</f>
        <v>3522</v>
      </c>
      <c r="F18" s="26">
        <f>F15</f>
        <v>239061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'[29]Sheet1'!$N$18</f>
        <v>91360</v>
      </c>
      <c r="D21" s="25">
        <f>'[29]Sheet1'!$R$18</f>
        <v>92706</v>
      </c>
      <c r="E21" s="25">
        <f>D21-C21</f>
        <v>1346</v>
      </c>
      <c r="F21" s="25">
        <f>'[29]Sheet1'!$T$18</f>
        <v>91360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'[29]Sheet1'!$N$19</f>
        <v>8324</v>
      </c>
      <c r="D22" s="25">
        <f>'[29]Sheet1'!$R$19</f>
        <v>8447</v>
      </c>
      <c r="E22" s="25">
        <f>D22-C22</f>
        <v>123</v>
      </c>
      <c r="F22" s="25">
        <f>'[29]Sheet1'!$T$19</f>
        <v>8324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'[29]Sheet1'!$N$20</f>
        <v>18736</v>
      </c>
      <c r="D23" s="25">
        <f>'[29]Sheet1'!$R$20</f>
        <v>19012</v>
      </c>
      <c r="E23" s="25">
        <f>D23-C23</f>
        <v>276</v>
      </c>
      <c r="F23" s="25">
        <f>'[29]Sheet1'!$T$20</f>
        <v>18736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'[29]Sheet1'!$K$22</f>
        <v>29201</v>
      </c>
      <c r="D24" s="25">
        <f>'[29]Sheet1'!$R$22</f>
        <v>29631</v>
      </c>
      <c r="E24" s="25">
        <f>D24-C24</f>
        <v>430</v>
      </c>
      <c r="F24" s="25">
        <f>'[29]Sheet1'!$T$22</f>
        <v>32873</v>
      </c>
      <c r="G24" s="25">
        <f>C24-F24</f>
        <v>-3672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'[29]Sheet1'!$N$26</f>
        <v>168127</v>
      </c>
      <c r="D27" s="25">
        <f>'[29]Sheet1'!$R$26</f>
        <v>170604</v>
      </c>
      <c r="E27" s="25">
        <f>D27-C27</f>
        <v>2477</v>
      </c>
      <c r="F27" s="25">
        <f>'[29]Sheet1'!$T$26</f>
        <v>168127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'[29]Sheet1'!$N$41+'[29]Sheet1'!$N$42</f>
        <v>27779</v>
      </c>
      <c r="D28" s="25">
        <f>'[29]Sheet1'!$R$41+'[29]Sheet1'!$R$42</f>
        <v>28188</v>
      </c>
      <c r="E28" s="25">
        <f>D28-C28</f>
        <v>409</v>
      </c>
      <c r="F28" s="25">
        <f>'[29]Sheet1'!$T$41+'[29]Sheet1'!$T$42</f>
        <v>27779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343527</v>
      </c>
      <c r="D29" s="26">
        <f>SUM(D20:D28)</f>
        <v>348588</v>
      </c>
      <c r="E29" s="26">
        <f>SUM(E20:E28)</f>
        <v>5061</v>
      </c>
      <c r="F29" s="26">
        <f>SUM(F20:F28)</f>
        <v>347199</v>
      </c>
      <c r="G29" s="26">
        <f>SUM(G20:G28)</f>
        <v>-3672</v>
      </c>
      <c r="H29" s="62"/>
      <c r="I29" s="62"/>
    </row>
    <row r="30" spans="2:9" ht="13.5" thickBot="1">
      <c r="B30" s="7" t="s">
        <v>15</v>
      </c>
      <c r="C30" s="26">
        <f>C18+C29</f>
        <v>582588</v>
      </c>
      <c r="D30" s="26">
        <f>D18+D29</f>
        <v>591171</v>
      </c>
      <c r="E30" s="26">
        <f>E18+E29</f>
        <v>8583</v>
      </c>
      <c r="F30" s="26">
        <f>F18+F29</f>
        <v>586260</v>
      </c>
      <c r="G30" s="26">
        <f>G18+G29</f>
        <v>-3672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'[29]Sheet1'!$N$12</f>
        <v>514729</v>
      </c>
      <c r="D35" s="28">
        <f>'[29]Sheet1'!$R$12</f>
        <v>522313</v>
      </c>
      <c r="E35" s="28">
        <f>D35-C35</f>
        <v>7584</v>
      </c>
      <c r="F35" s="28">
        <f>'[29]Sheet1'!$U$12-455187</f>
        <v>255470</v>
      </c>
      <c r="G35" s="28">
        <f>C35-F35</f>
        <v>259259</v>
      </c>
      <c r="H35" s="65"/>
      <c r="I35" s="62"/>
    </row>
    <row r="36" spans="2:9" ht="13.5" thickBot="1">
      <c r="B36" s="6" t="s">
        <v>18</v>
      </c>
      <c r="C36" s="29">
        <f>C35</f>
        <v>514729</v>
      </c>
      <c r="D36" s="29">
        <f>D35</f>
        <v>522313</v>
      </c>
      <c r="E36" s="29">
        <f>E35</f>
        <v>7584</v>
      </c>
      <c r="F36" s="29">
        <f>F35</f>
        <v>255470</v>
      </c>
      <c r="G36" s="29">
        <f>G35</f>
        <v>259259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'[29]Sheet1'!$N$33</f>
        <v>620644</v>
      </c>
      <c r="D41" s="50">
        <f>'[29]Sheet1'!$R$33</f>
        <v>629788</v>
      </c>
      <c r="E41" s="50">
        <f>D41-C41</f>
        <v>9144</v>
      </c>
      <c r="F41" s="50">
        <f>'[29]Sheet1'!$T$33</f>
        <v>851429</v>
      </c>
      <c r="G41" s="50">
        <f>C41-F41</f>
        <v>-230785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2007809.02-263609.86</f>
        <v>1744199.1600000001</v>
      </c>
      <c r="D43" s="50">
        <v>1769710.2</v>
      </c>
      <c r="E43" s="50">
        <f>D43-C43</f>
        <v>25511.039999999804</v>
      </c>
      <c r="F43" s="50">
        <f>'[29]Sheet1'!$T$36</f>
        <v>1942705</v>
      </c>
      <c r="G43" s="50">
        <f>C43-F43</f>
        <v>-198505.83999999985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2364843.16</v>
      </c>
      <c r="D45" s="29">
        <f>D41+D43</f>
        <v>2399498.2</v>
      </c>
      <c r="E45" s="29">
        <f>E41+E43</f>
        <v>34655.039999999804</v>
      </c>
      <c r="F45" s="29">
        <f>F41+F43</f>
        <v>2794134</v>
      </c>
      <c r="G45" s="29">
        <f>G41+G43</f>
        <v>-429290.83999999985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50822.039999999804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16167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34655.039999999804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-429290.83999999985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-429290.83999999985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255587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255587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-171382.96999999986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50822.039999999804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98299.45000000019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-712960.23-299887.38</f>
        <v>-1012847.61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1:3" s="11" customFormat="1" ht="12.75">
      <c r="A84" s="37"/>
      <c r="C84" s="21" t="s">
        <v>20</v>
      </c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2:6" ht="15">
      <c r="B86" s="17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64">
      <selection activeCell="J41" sqref="J41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68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15.75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19145.079999999987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4.25">
      <c r="B9" s="24"/>
      <c r="C9" s="16"/>
      <c r="D9" s="16"/>
      <c r="E9" s="16"/>
      <c r="F9" s="16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'[3]Sheet1'!$N$15</f>
        <v>95336</v>
      </c>
      <c r="D14" s="50">
        <f>'[3]Sheet1'!$R$15</f>
        <v>96329</v>
      </c>
      <c r="E14" s="50">
        <f>D14-C14</f>
        <v>993</v>
      </c>
      <c r="F14" s="50">
        <f>'[3]Sheet1'!$T$15</f>
        <v>95336</v>
      </c>
      <c r="G14" s="71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70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69"/>
      <c r="H16" s="62"/>
      <c r="I16" s="62"/>
    </row>
    <row r="17" spans="2:9" ht="13.5" thickBot="1">
      <c r="B17" s="6" t="s">
        <v>7</v>
      </c>
      <c r="C17" s="26">
        <f>C14</f>
        <v>95336</v>
      </c>
      <c r="D17" s="26">
        <f>D14</f>
        <v>96329</v>
      </c>
      <c r="E17" s="26">
        <f>E14</f>
        <v>993</v>
      </c>
      <c r="F17" s="26">
        <f>F14</f>
        <v>95336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9</v>
      </c>
      <c r="C19" s="25">
        <f>'[3]Sheet1'!$N$18</f>
        <v>44420</v>
      </c>
      <c r="D19" s="25">
        <f>'[3]Sheet1'!$R$18</f>
        <v>44882</v>
      </c>
      <c r="E19" s="25">
        <f>D19-C19</f>
        <v>462</v>
      </c>
      <c r="F19" s="25">
        <f>'[3]Sheet1'!$T$18</f>
        <v>44420</v>
      </c>
      <c r="G19" s="25">
        <f>C19-F19</f>
        <v>0</v>
      </c>
      <c r="H19" s="62"/>
      <c r="I19" s="62"/>
    </row>
    <row r="20" spans="2:9" ht="19.5" customHeight="1" thickBot="1">
      <c r="B20" s="10" t="s">
        <v>10</v>
      </c>
      <c r="C20" s="25">
        <f>'[3]Sheet1'!$N$19</f>
        <v>4102</v>
      </c>
      <c r="D20" s="25">
        <f>'[3]Sheet1'!$R$19</f>
        <v>4145</v>
      </c>
      <c r="E20" s="25">
        <f>D20-C20</f>
        <v>43</v>
      </c>
      <c r="F20" s="25">
        <f>'[3]Sheet1'!$T$19</f>
        <v>4102</v>
      </c>
      <c r="G20" s="25">
        <f>C20-F20</f>
        <v>0</v>
      </c>
      <c r="H20" s="62"/>
      <c r="I20" s="62"/>
    </row>
    <row r="21" spans="2:9" ht="21" customHeight="1" thickBot="1">
      <c r="B21" s="10" t="s">
        <v>11</v>
      </c>
      <c r="C21" s="25">
        <f>'[3]Sheet1'!$N$20</f>
        <v>9135</v>
      </c>
      <c r="D21" s="25">
        <f>'[3]Sheet1'!$R$20</f>
        <v>9231</v>
      </c>
      <c r="E21" s="25">
        <f>D21-C21</f>
        <v>96</v>
      </c>
      <c r="F21" s="25">
        <f>'[3]Sheet1'!$T$20</f>
        <v>9135</v>
      </c>
      <c r="G21" s="25">
        <f>C21-F21</f>
        <v>0</v>
      </c>
      <c r="H21" s="62"/>
      <c r="I21" s="62"/>
    </row>
    <row r="22" spans="2:9" ht="25.5" customHeight="1" thickBot="1">
      <c r="B22" s="10" t="s">
        <v>12</v>
      </c>
      <c r="C22" s="25">
        <f>'[3]Sheet1'!$K$22</f>
        <v>14524</v>
      </c>
      <c r="D22" s="25">
        <f>'[3]Sheet1'!$R$22</f>
        <v>14676</v>
      </c>
      <c r="E22" s="25">
        <f>D22-C22</f>
        <v>152</v>
      </c>
      <c r="F22" s="25">
        <f>'[3]Sheet1'!$T$22</f>
        <v>22322</v>
      </c>
      <c r="G22" s="25">
        <f>C22-F22</f>
        <v>-7798</v>
      </c>
      <c r="H22" s="62"/>
      <c r="I22" s="62"/>
    </row>
    <row r="23" spans="2:9" ht="17.25" customHeight="1" thickBot="1">
      <c r="B23" s="10" t="s">
        <v>60</v>
      </c>
      <c r="C23" s="25">
        <v>0</v>
      </c>
      <c r="D23" s="25">
        <v>0</v>
      </c>
      <c r="E23" s="25">
        <v>0</v>
      </c>
      <c r="F23" s="25">
        <v>0</v>
      </c>
      <c r="G23" s="25">
        <f>C23-F23</f>
        <v>0</v>
      </c>
      <c r="H23" s="62"/>
      <c r="I23" s="62"/>
    </row>
    <row r="24" spans="2:9" ht="17.25" customHeight="1" thickBot="1">
      <c r="B24" s="10" t="s">
        <v>61</v>
      </c>
      <c r="C24" s="25">
        <v>0</v>
      </c>
      <c r="D24" s="25">
        <v>0</v>
      </c>
      <c r="E24" s="25">
        <v>0</v>
      </c>
      <c r="F24" s="25">
        <v>0</v>
      </c>
      <c r="G24" s="25">
        <f>C24-F24</f>
        <v>0</v>
      </c>
      <c r="H24" s="62"/>
      <c r="I24" s="62"/>
    </row>
    <row r="25" spans="2:9" ht="25.5" customHeight="1" thickBot="1">
      <c r="B25" s="10" t="s">
        <v>13</v>
      </c>
      <c r="C25" s="25">
        <f>'[3]Sheet1'!$N$26</f>
        <v>81497</v>
      </c>
      <c r="D25" s="25">
        <f>'[3]Sheet1'!$R$26</f>
        <v>82345</v>
      </c>
      <c r="E25" s="25">
        <f>D25-C25</f>
        <v>848</v>
      </c>
      <c r="F25" s="25">
        <f>'[3]Sheet1'!$T$26</f>
        <v>81497</v>
      </c>
      <c r="G25" s="25">
        <f>C25-F25</f>
        <v>0</v>
      </c>
      <c r="H25" s="62"/>
      <c r="I25" s="62"/>
    </row>
    <row r="26" spans="2:9" ht="25.5" customHeight="1" thickBot="1">
      <c r="B26" s="10" t="s">
        <v>14</v>
      </c>
      <c r="C26" s="25">
        <f>'[3]Sheet1'!$N$41+'[3]Sheet1'!$N$42</f>
        <v>13630</v>
      </c>
      <c r="D26" s="25">
        <f>'[3]Sheet1'!$R$41+'[3]Sheet1'!$R$42</f>
        <v>13773</v>
      </c>
      <c r="E26" s="25">
        <f>D26-C26</f>
        <v>143</v>
      </c>
      <c r="F26" s="25">
        <f>'[3]Sheet1'!$T$41+'[3]Sheet1'!$T$42</f>
        <v>13630</v>
      </c>
      <c r="G26" s="25">
        <f>C26-F26</f>
        <v>0</v>
      </c>
      <c r="H26" s="62"/>
      <c r="I26" s="62"/>
    </row>
    <row r="27" spans="2:9" ht="13.5" thickBot="1">
      <c r="B27" s="6" t="s">
        <v>7</v>
      </c>
      <c r="C27" s="26">
        <f>SUM(C19:C26)</f>
        <v>167308</v>
      </c>
      <c r="D27" s="26">
        <f>SUM(D19:D26)</f>
        <v>169052</v>
      </c>
      <c r="E27" s="26">
        <f>SUM(E19:E26)</f>
        <v>1744</v>
      </c>
      <c r="F27" s="26">
        <f>SUM(F19:F26)</f>
        <v>175106</v>
      </c>
      <c r="G27" s="26">
        <f>SUM(G19:G26)</f>
        <v>-7798</v>
      </c>
      <c r="H27" s="62"/>
      <c r="I27" s="62"/>
    </row>
    <row r="28" spans="2:9" ht="13.5" thickBot="1">
      <c r="B28" s="7" t="s">
        <v>15</v>
      </c>
      <c r="C28" s="26">
        <f>C17+C27</f>
        <v>262644</v>
      </c>
      <c r="D28" s="26">
        <f>D17+D27</f>
        <v>265381</v>
      </c>
      <c r="E28" s="26">
        <f>E17+E27</f>
        <v>2737</v>
      </c>
      <c r="F28" s="26">
        <f>F17+F27</f>
        <v>270442</v>
      </c>
      <c r="G28" s="26">
        <f>G17+G27</f>
        <v>-7798</v>
      </c>
      <c r="H28" s="62"/>
      <c r="I28" s="62"/>
    </row>
    <row r="29" spans="2:9" ht="12.75">
      <c r="B29" s="11"/>
      <c r="C29" s="62"/>
      <c r="D29" s="62"/>
      <c r="E29" s="62"/>
      <c r="F29" s="62"/>
      <c r="G29" s="62"/>
      <c r="H29" s="62"/>
      <c r="I29" s="62"/>
    </row>
    <row r="30" spans="2:9" ht="13.5" thickBot="1">
      <c r="B30" s="18" t="s">
        <v>47</v>
      </c>
      <c r="C30" s="62"/>
      <c r="D30" s="62"/>
      <c r="E30" s="62"/>
      <c r="F30" s="62"/>
      <c r="G30" s="62"/>
      <c r="H30" s="62"/>
      <c r="I30" s="62"/>
    </row>
    <row r="31" spans="2:9" ht="105" customHeight="1" thickBot="1">
      <c r="B31" s="22" t="s">
        <v>3</v>
      </c>
      <c r="C31" s="22" t="s">
        <v>28</v>
      </c>
      <c r="D31" s="23" t="s">
        <v>23</v>
      </c>
      <c r="E31" s="23" t="s">
        <v>31</v>
      </c>
      <c r="F31" s="22" t="s">
        <v>16</v>
      </c>
      <c r="G31" s="22" t="s">
        <v>29</v>
      </c>
      <c r="H31" s="62"/>
      <c r="I31" s="62"/>
    </row>
    <row r="32" spans="2:9" ht="13.5" customHeight="1" thickBot="1">
      <c r="B32" s="43">
        <v>1</v>
      </c>
      <c r="C32" s="44">
        <v>2</v>
      </c>
      <c r="D32" s="44">
        <v>3</v>
      </c>
      <c r="E32" s="44" t="s">
        <v>42</v>
      </c>
      <c r="F32" s="44">
        <v>5</v>
      </c>
      <c r="G32" s="45" t="s">
        <v>43</v>
      </c>
      <c r="H32" s="62"/>
      <c r="I32" s="62"/>
    </row>
    <row r="33" spans="2:9" ht="38.25" customHeight="1" thickBot="1">
      <c r="B33" s="10" t="s">
        <v>17</v>
      </c>
      <c r="C33" s="28">
        <f>'[3]Sheet1'!$N$12</f>
        <v>198697</v>
      </c>
      <c r="D33" s="28">
        <f>'[3]Sheet1'!$R$12</f>
        <v>200767</v>
      </c>
      <c r="E33" s="28">
        <f>D33-C33</f>
        <v>2070</v>
      </c>
      <c r="F33" s="28">
        <f>'[3]Sheet1'!$U$12</f>
        <v>257148</v>
      </c>
      <c r="G33" s="28">
        <f>C33-F33</f>
        <v>-58451</v>
      </c>
      <c r="H33" s="65"/>
      <c r="I33" s="62"/>
    </row>
    <row r="34" spans="2:9" ht="13.5" thickBot="1">
      <c r="B34" s="6" t="s">
        <v>18</v>
      </c>
      <c r="C34" s="29">
        <f>C33</f>
        <v>198697</v>
      </c>
      <c r="D34" s="29">
        <f>D33</f>
        <v>200767</v>
      </c>
      <c r="E34" s="29">
        <f>E33</f>
        <v>2070</v>
      </c>
      <c r="F34" s="29">
        <f>F33</f>
        <v>257148</v>
      </c>
      <c r="G34" s="29">
        <f>G33</f>
        <v>-58451</v>
      </c>
      <c r="H34" s="62"/>
      <c r="I34" s="62"/>
    </row>
    <row r="35" spans="2:9" ht="12.75">
      <c r="B35" s="13"/>
      <c r="C35" s="62"/>
      <c r="D35" s="62"/>
      <c r="E35" s="62"/>
      <c r="F35" s="62"/>
      <c r="G35" s="62"/>
      <c r="H35" s="62"/>
      <c r="I35" s="62"/>
    </row>
    <row r="36" spans="2:9" ht="13.5" thickBot="1">
      <c r="B36" s="18" t="s">
        <v>30</v>
      </c>
      <c r="C36" s="62"/>
      <c r="D36" s="62"/>
      <c r="E36" s="62"/>
      <c r="F36" s="62"/>
      <c r="G36" s="62"/>
      <c r="H36" s="62"/>
      <c r="I36" s="62"/>
    </row>
    <row r="37" spans="2:9" ht="103.5" customHeight="1" thickBot="1">
      <c r="B37" s="22" t="s">
        <v>3</v>
      </c>
      <c r="C37" s="5" t="s">
        <v>25</v>
      </c>
      <c r="D37" s="8" t="s">
        <v>26</v>
      </c>
      <c r="E37" s="23" t="s">
        <v>31</v>
      </c>
      <c r="F37" s="5" t="s">
        <v>27</v>
      </c>
      <c r="G37" s="22" t="s">
        <v>29</v>
      </c>
      <c r="H37" s="62"/>
      <c r="I37" s="62"/>
    </row>
    <row r="38" spans="2:9" ht="13.5" customHeight="1" thickBot="1">
      <c r="B38" s="43">
        <v>1</v>
      </c>
      <c r="C38" s="44">
        <v>2</v>
      </c>
      <c r="D38" s="44">
        <v>3</v>
      </c>
      <c r="E38" s="44" t="s">
        <v>42</v>
      </c>
      <c r="F38" s="44">
        <v>5</v>
      </c>
      <c r="G38" s="45" t="s">
        <v>43</v>
      </c>
      <c r="H38" s="62"/>
      <c r="I38" s="62"/>
    </row>
    <row r="39" spans="2:9" ht="16.5" customHeight="1">
      <c r="B39" s="54" t="s">
        <v>46</v>
      </c>
      <c r="C39" s="50">
        <f>'[3]Sheet1'!$N$33</f>
        <v>212811</v>
      </c>
      <c r="D39" s="50">
        <f>'[3]Sheet1'!$R$33</f>
        <v>215028</v>
      </c>
      <c r="E39" s="50">
        <f>D39-C39</f>
        <v>2217</v>
      </c>
      <c r="F39" s="50">
        <f>'[3]Sheet1'!$T$33</f>
        <v>279236</v>
      </c>
      <c r="G39" s="50">
        <f>C39-F39</f>
        <v>-66425</v>
      </c>
      <c r="H39" s="62"/>
      <c r="I39" s="62"/>
    </row>
    <row r="40" spans="2:9" ht="24" customHeight="1" thickBot="1">
      <c r="B40" s="55"/>
      <c r="C40" s="51"/>
      <c r="D40" s="51"/>
      <c r="E40" s="51"/>
      <c r="F40" s="51"/>
      <c r="G40" s="51"/>
      <c r="H40" s="62"/>
      <c r="I40" s="62"/>
    </row>
    <row r="41" spans="2:9" ht="17.25" customHeight="1">
      <c r="B41" s="54" t="s">
        <v>44</v>
      </c>
      <c r="C41" s="50">
        <f>916486.53-33386.68</f>
        <v>883099.85</v>
      </c>
      <c r="D41" s="50">
        <v>897589.92</v>
      </c>
      <c r="E41" s="50">
        <f>D41-C41</f>
        <v>14490.070000000065</v>
      </c>
      <c r="F41" s="50">
        <v>822930.35</v>
      </c>
      <c r="G41" s="50">
        <f>C41-F41</f>
        <v>60169.5</v>
      </c>
      <c r="H41" s="62"/>
      <c r="I41" s="62"/>
    </row>
    <row r="42" spans="2:9" ht="13.5" thickBot="1">
      <c r="B42" s="55"/>
      <c r="C42" s="51"/>
      <c r="D42" s="51"/>
      <c r="E42" s="51"/>
      <c r="F42" s="51"/>
      <c r="G42" s="51"/>
      <c r="H42" s="62"/>
      <c r="I42" s="62"/>
    </row>
    <row r="43" spans="2:9" ht="13.5" thickBot="1">
      <c r="B43" s="7" t="s">
        <v>19</v>
      </c>
      <c r="C43" s="29">
        <f>C39+C41</f>
        <v>1095910.85</v>
      </c>
      <c r="D43" s="29">
        <f>D39+D41</f>
        <v>1112617.92</v>
      </c>
      <c r="E43" s="29">
        <f>E39+E41</f>
        <v>16707.070000000065</v>
      </c>
      <c r="F43" s="29">
        <f>F39+F41</f>
        <v>1102166.35</v>
      </c>
      <c r="G43" s="29">
        <f>G39+G41</f>
        <v>-6255.5</v>
      </c>
      <c r="H43" s="62"/>
      <c r="I43" s="62"/>
    </row>
    <row r="44" spans="2:9" ht="12.75">
      <c r="B44" s="11"/>
      <c r="C44" s="62"/>
      <c r="D44" s="62"/>
      <c r="E44" s="62"/>
      <c r="F44" s="62"/>
      <c r="G44" s="62"/>
      <c r="H44" s="62"/>
      <c r="I44" s="62"/>
    </row>
    <row r="45" spans="2:9" ht="12.75">
      <c r="B45" s="11"/>
      <c r="C45" s="62"/>
      <c r="D45" s="62"/>
      <c r="E45" s="62"/>
      <c r="F45" s="62"/>
      <c r="G45" s="62"/>
      <c r="H45" s="62"/>
      <c r="I45" s="62"/>
    </row>
    <row r="46" spans="2:9" ht="12.75">
      <c r="B46" s="20" t="s">
        <v>62</v>
      </c>
      <c r="C46" s="62"/>
      <c r="D46" s="62"/>
      <c r="E46" s="62"/>
      <c r="F46" s="62"/>
      <c r="G46" s="31">
        <f>F48+F49</f>
        <v>21514.070000000065</v>
      </c>
      <c r="H46" s="62"/>
      <c r="I46" s="62"/>
    </row>
    <row r="47" spans="2:9" ht="12.75">
      <c r="B47" s="30" t="s">
        <v>32</v>
      </c>
      <c r="C47" s="65"/>
      <c r="D47" s="62"/>
      <c r="E47" s="62"/>
      <c r="F47" s="62"/>
      <c r="G47" s="62"/>
      <c r="H47" s="62"/>
      <c r="I47" s="62"/>
    </row>
    <row r="48" spans="2:9" ht="12.75">
      <c r="B48" s="38" t="s">
        <v>67</v>
      </c>
      <c r="C48" s="62"/>
      <c r="D48" s="62"/>
      <c r="E48" s="62"/>
      <c r="F48" s="32">
        <f>(E28+E34)</f>
        <v>4807</v>
      </c>
      <c r="G48" s="62"/>
      <c r="H48" s="62"/>
      <c r="I48" s="62"/>
    </row>
    <row r="49" spans="2:9" ht="12.75">
      <c r="B49" s="38" t="s">
        <v>64</v>
      </c>
      <c r="C49" s="62"/>
      <c r="D49" s="62"/>
      <c r="E49" s="62"/>
      <c r="F49" s="32">
        <f>(E43)</f>
        <v>16707.070000000065</v>
      </c>
      <c r="G49" s="62"/>
      <c r="H49" s="62"/>
      <c r="I49" s="62"/>
    </row>
    <row r="50" spans="2:9" ht="12.75">
      <c r="B50" s="38"/>
      <c r="C50" s="62"/>
      <c r="D50" s="62"/>
      <c r="E50" s="62"/>
      <c r="F50" s="32"/>
      <c r="G50" s="62"/>
      <c r="H50" s="62"/>
      <c r="I50" s="62"/>
    </row>
    <row r="51" spans="2:9" s="33" customFormat="1" ht="12.75">
      <c r="B51" s="34" t="s">
        <v>35</v>
      </c>
      <c r="C51" s="66"/>
      <c r="D51" s="66"/>
      <c r="E51" s="67"/>
      <c r="F51" s="37"/>
      <c r="G51" s="31">
        <f>F53+F54</f>
        <v>-72504.5</v>
      </c>
      <c r="H51" s="66"/>
      <c r="I51" s="66"/>
    </row>
    <row r="52" spans="2:9" s="33" customFormat="1" ht="12.75">
      <c r="B52" s="30" t="s">
        <v>32</v>
      </c>
      <c r="C52" s="66"/>
      <c r="D52" s="66"/>
      <c r="E52" s="67"/>
      <c r="F52" s="37"/>
      <c r="G52" s="41"/>
      <c r="H52" s="66"/>
      <c r="I52" s="66"/>
    </row>
    <row r="53" spans="2:9" s="33" customFormat="1" ht="12.75">
      <c r="B53" s="38" t="s">
        <v>36</v>
      </c>
      <c r="C53" s="66"/>
      <c r="D53" s="66"/>
      <c r="E53" s="67"/>
      <c r="F53" s="32">
        <f>IF((G28+G34)&lt;=0,G28+G34,0)</f>
        <v>-66249</v>
      </c>
      <c r="G53" s="41"/>
      <c r="H53" s="66"/>
      <c r="I53" s="66"/>
    </row>
    <row r="54" spans="2:9" s="33" customFormat="1" ht="12.75">
      <c r="B54" s="38" t="s">
        <v>37</v>
      </c>
      <c r="C54" s="66"/>
      <c r="D54" s="66"/>
      <c r="E54" s="67"/>
      <c r="F54" s="32">
        <f>IF(G43&lt;=0,G43,0)</f>
        <v>-6255.5</v>
      </c>
      <c r="G54" s="41"/>
      <c r="H54" s="66"/>
      <c r="I54" s="66"/>
    </row>
    <row r="55" spans="2:9" s="33" customFormat="1" ht="12.75">
      <c r="B55" s="38"/>
      <c r="C55" s="66"/>
      <c r="D55" s="66"/>
      <c r="E55" s="67"/>
      <c r="F55" s="37"/>
      <c r="G55" s="41"/>
      <c r="H55" s="66"/>
      <c r="I55" s="66"/>
    </row>
    <row r="56" spans="2:9" s="33" customFormat="1" ht="12.75">
      <c r="B56" s="34" t="s">
        <v>66</v>
      </c>
      <c r="C56" s="66"/>
      <c r="D56" s="66"/>
      <c r="E56" s="67"/>
      <c r="F56" s="37"/>
      <c r="G56" s="31">
        <f>F58+F59</f>
        <v>0</v>
      </c>
      <c r="H56" s="66"/>
      <c r="I56" s="66"/>
    </row>
    <row r="57" spans="2:9" ht="12.75">
      <c r="B57" s="30" t="s">
        <v>32</v>
      </c>
      <c r="C57" s="62"/>
      <c r="D57" s="62"/>
      <c r="E57" s="62"/>
      <c r="F57" s="11"/>
      <c r="G57" s="41"/>
      <c r="H57" s="62"/>
      <c r="I57" s="62"/>
    </row>
    <row r="58" spans="2:9" ht="12.75">
      <c r="B58" s="38" t="s">
        <v>36</v>
      </c>
      <c r="C58" s="62"/>
      <c r="D58" s="62"/>
      <c r="E58" s="62"/>
      <c r="F58" s="32">
        <f>IF((G28+G34)&gt;0,G28+G34,0)</f>
        <v>0</v>
      </c>
      <c r="G58" s="62"/>
      <c r="H58" s="62"/>
      <c r="I58" s="62"/>
    </row>
    <row r="59" spans="2:9" ht="12.75">
      <c r="B59" s="38" t="s">
        <v>37</v>
      </c>
      <c r="C59" s="62"/>
      <c r="D59" s="62"/>
      <c r="E59" s="62"/>
      <c r="F59" s="32">
        <f>IF(G43&gt;0,G43,0)</f>
        <v>0</v>
      </c>
      <c r="G59" s="62"/>
      <c r="H59" s="62"/>
      <c r="I59" s="62"/>
    </row>
    <row r="60" spans="2:9" ht="12.75">
      <c r="B60" s="38"/>
      <c r="C60" s="62"/>
      <c r="D60" s="62"/>
      <c r="E60" s="62"/>
      <c r="F60" s="32"/>
      <c r="G60" s="62"/>
      <c r="H60" s="62"/>
      <c r="I60" s="62"/>
    </row>
    <row r="61" spans="2:9" ht="12.75">
      <c r="B61" s="49" t="s">
        <v>57</v>
      </c>
      <c r="C61" s="19"/>
      <c r="D61" s="19"/>
      <c r="E61" s="19"/>
      <c r="F61" s="11"/>
      <c r="G61" s="19"/>
      <c r="H61" s="19"/>
      <c r="I61" s="19"/>
    </row>
    <row r="62" spans="2:9" ht="12.75">
      <c r="B62" s="11" t="s">
        <v>58</v>
      </c>
      <c r="C62" s="19"/>
      <c r="D62" s="19"/>
      <c r="E62" s="48"/>
      <c r="F62" s="37"/>
      <c r="G62" s="31">
        <f>1220.87+400+700</f>
        <v>2320.87</v>
      </c>
      <c r="H62" s="19"/>
      <c r="I62" s="19"/>
    </row>
    <row r="63" spans="2:9" ht="12.75">
      <c r="B63" s="18"/>
      <c r="C63" s="19"/>
      <c r="D63" s="19"/>
      <c r="E63" s="19"/>
      <c r="F63" s="19"/>
      <c r="G63" s="19"/>
      <c r="H63" s="19"/>
      <c r="I63" s="19"/>
    </row>
    <row r="64" spans="2:9" ht="12.75">
      <c r="B64" s="38"/>
      <c r="C64" s="19"/>
      <c r="D64" s="19"/>
      <c r="E64" s="19"/>
      <c r="F64" s="32"/>
      <c r="G64" s="19"/>
      <c r="H64" s="19"/>
      <c r="I64" s="19"/>
    </row>
    <row r="65" spans="2:9" ht="15.75">
      <c r="B65" s="39" t="s">
        <v>49</v>
      </c>
      <c r="C65" s="19"/>
      <c r="D65" s="19"/>
      <c r="E65" s="19"/>
      <c r="F65" s="40">
        <f>G51+G56+G62</f>
        <v>-70183.63</v>
      </c>
      <c r="G65" s="40" t="s">
        <v>40</v>
      </c>
      <c r="H65" s="19"/>
      <c r="I65" s="19"/>
    </row>
    <row r="66" spans="2:9" ht="12.75">
      <c r="B66" s="24" t="s">
        <v>38</v>
      </c>
      <c r="C66" s="19"/>
      <c r="D66" s="19"/>
      <c r="E66" s="19"/>
      <c r="F66" s="32"/>
      <c r="G66" s="19"/>
      <c r="H66" s="19"/>
      <c r="I66" s="19"/>
    </row>
    <row r="67" spans="2:9" ht="12.75">
      <c r="B67" s="24" t="s">
        <v>39</v>
      </c>
      <c r="C67" s="19"/>
      <c r="D67" s="19"/>
      <c r="E67" s="19"/>
      <c r="F67" s="32"/>
      <c r="G67" s="19"/>
      <c r="H67" s="19"/>
      <c r="I67" s="19"/>
    </row>
    <row r="68" spans="2:9" ht="12.75">
      <c r="B68" s="38"/>
      <c r="C68" s="19"/>
      <c r="D68" s="19"/>
      <c r="E68" s="19"/>
      <c r="F68" s="32"/>
      <c r="G68" s="19"/>
      <c r="H68" s="19"/>
      <c r="I68" s="19"/>
    </row>
    <row r="69" spans="2:9" ht="15.75">
      <c r="B69" s="39" t="s">
        <v>50</v>
      </c>
      <c r="C69" s="19"/>
      <c r="D69" s="19"/>
      <c r="E69" s="19"/>
      <c r="F69" s="40">
        <f>G46</f>
        <v>21514.070000000065</v>
      </c>
      <c r="G69" s="40" t="s">
        <v>40</v>
      </c>
      <c r="H69" s="19"/>
      <c r="I69" s="19"/>
    </row>
    <row r="70" spans="2:9" ht="12.75">
      <c r="B70" s="24" t="s">
        <v>52</v>
      </c>
      <c r="C70" s="19"/>
      <c r="D70" s="19"/>
      <c r="E70" s="19"/>
      <c r="F70" s="32"/>
      <c r="G70" s="19"/>
      <c r="H70" s="19"/>
      <c r="I70" s="19"/>
    </row>
    <row r="71" spans="2:9" ht="12.75">
      <c r="B71" s="24" t="s">
        <v>53</v>
      </c>
      <c r="C71" s="19"/>
      <c r="D71" s="19"/>
      <c r="E71" s="19"/>
      <c r="F71" s="32"/>
      <c r="G71" s="19"/>
      <c r="H71" s="19"/>
      <c r="I71" s="19"/>
    </row>
    <row r="72" spans="2:9" ht="12.75">
      <c r="B72" s="13"/>
      <c r="C72" s="19"/>
      <c r="D72" s="19"/>
      <c r="E72" s="19"/>
      <c r="F72" s="19"/>
      <c r="G72" s="19"/>
      <c r="H72" s="19"/>
      <c r="I72" s="19"/>
    </row>
    <row r="73" spans="2:9" ht="15.75">
      <c r="B73" s="39" t="s">
        <v>56</v>
      </c>
      <c r="C73" s="19"/>
      <c r="D73" s="19"/>
      <c r="E73" s="19"/>
      <c r="F73" s="40">
        <f>D5+F65</f>
        <v>-51038.55000000002</v>
      </c>
      <c r="G73" s="40" t="s">
        <v>40</v>
      </c>
      <c r="H73" s="19"/>
      <c r="I73" s="19"/>
    </row>
    <row r="74" spans="2:9" ht="12.75">
      <c r="B74" s="24" t="s">
        <v>38</v>
      </c>
      <c r="C74" s="19"/>
      <c r="D74" s="19"/>
      <c r="E74" s="19"/>
      <c r="F74" s="32"/>
      <c r="G74" s="19"/>
      <c r="H74" s="19"/>
      <c r="I74" s="19"/>
    </row>
    <row r="75" spans="2:9" ht="12.75">
      <c r="B75" s="24" t="s">
        <v>39</v>
      </c>
      <c r="C75" s="19"/>
      <c r="D75" s="19"/>
      <c r="E75" s="19"/>
      <c r="F75" s="32"/>
      <c r="G75" s="19"/>
      <c r="H75" s="19"/>
      <c r="I75" s="19"/>
    </row>
    <row r="76" spans="2:9" ht="12.75">
      <c r="B76" s="38"/>
      <c r="C76" s="19"/>
      <c r="D76" s="19"/>
      <c r="E76" s="19"/>
      <c r="F76" s="32"/>
      <c r="G76" s="19"/>
      <c r="H76" s="19"/>
      <c r="I76" s="19"/>
    </row>
    <row r="77" spans="2:9" ht="15.75">
      <c r="B77" s="39" t="s">
        <v>51</v>
      </c>
      <c r="C77" s="19"/>
      <c r="D77" s="19"/>
      <c r="E77" s="19"/>
      <c r="F77" s="40">
        <f>-61166.27-22674.53</f>
        <v>-83840.79999999999</v>
      </c>
      <c r="G77" s="40" t="s">
        <v>40</v>
      </c>
      <c r="H77" s="19"/>
      <c r="I77" s="19"/>
    </row>
    <row r="78" spans="2:9" ht="12.75">
      <c r="B78" s="24" t="s">
        <v>52</v>
      </c>
      <c r="C78" s="19"/>
      <c r="D78" s="19"/>
      <c r="E78" s="19"/>
      <c r="F78" s="32"/>
      <c r="G78" s="19"/>
      <c r="H78" s="19"/>
      <c r="I78" s="19"/>
    </row>
    <row r="79" spans="2:9" ht="12.75">
      <c r="B79" s="24" t="s">
        <v>53</v>
      </c>
      <c r="C79" s="19"/>
      <c r="D79" s="19"/>
      <c r="E79" s="19"/>
      <c r="F79" s="32"/>
      <c r="G79" s="19"/>
      <c r="H79" s="19"/>
      <c r="I79" s="19"/>
    </row>
    <row r="80" spans="2:9" ht="12.75">
      <c r="B80" s="11"/>
      <c r="C80" s="62"/>
      <c r="D80" s="62"/>
      <c r="E80" s="62"/>
      <c r="F80" s="62"/>
      <c r="G80" s="62"/>
      <c r="H80" s="62"/>
      <c r="I80" s="62"/>
    </row>
    <row r="81" spans="2:9" ht="12.75">
      <c r="B81" s="11"/>
      <c r="C81" s="62"/>
      <c r="D81" s="62"/>
      <c r="E81" s="62"/>
      <c r="F81" s="62"/>
      <c r="G81" s="62"/>
      <c r="H81" s="62"/>
      <c r="I81" s="62"/>
    </row>
    <row r="82" spans="2:9" ht="12.75">
      <c r="B82" s="11"/>
      <c r="C82" s="21" t="s">
        <v>20</v>
      </c>
      <c r="D82" s="11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="11" customFormat="1" ht="12.75">
      <c r="A86" s="37"/>
    </row>
    <row r="87" spans="2:9" ht="12.75">
      <c r="B87" s="11"/>
      <c r="C87" s="62"/>
      <c r="D87" s="62"/>
      <c r="E87" s="62"/>
      <c r="F87" s="62"/>
      <c r="G87" s="62"/>
      <c r="H87" s="62"/>
      <c r="I87" s="62"/>
    </row>
    <row r="88" spans="2:6" ht="15">
      <c r="B88" s="17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  <row r="94" spans="2:6" ht="14.25">
      <c r="B94" s="68"/>
      <c r="C94" s="68"/>
      <c r="D94" s="68"/>
      <c r="E94" s="68"/>
      <c r="F94" s="68"/>
    </row>
    <row r="95" spans="2:6" ht="14.25">
      <c r="B95" s="68"/>
      <c r="C95" s="68"/>
      <c r="D95" s="68"/>
      <c r="E95" s="68"/>
      <c r="F95" s="68"/>
    </row>
  </sheetData>
  <sheetProtection/>
  <mergeCells count="19">
    <mergeCell ref="G41:G42"/>
    <mergeCell ref="F39:F40"/>
    <mergeCell ref="G14:G16"/>
    <mergeCell ref="C41:C42"/>
    <mergeCell ref="D41:D42"/>
    <mergeCell ref="F41:F42"/>
    <mergeCell ref="C39:C40"/>
    <mergeCell ref="D39:D40"/>
    <mergeCell ref="E41:E42"/>
    <mergeCell ref="B41:B42"/>
    <mergeCell ref="B13:G13"/>
    <mergeCell ref="B18:G18"/>
    <mergeCell ref="E39:E40"/>
    <mergeCell ref="C14:C16"/>
    <mergeCell ref="D14:D16"/>
    <mergeCell ref="E14:E16"/>
    <mergeCell ref="F14:F16"/>
    <mergeCell ref="B39:B40"/>
    <mergeCell ref="G39:G40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67">
      <selection activeCell="D45" sqref="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105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208234.8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'[30]Sheet1'!$N$15</f>
        <v>244969</v>
      </c>
      <c r="D15" s="50">
        <f>'[30]Sheet1'!$R$15</f>
        <v>241370</v>
      </c>
      <c r="E15" s="50">
        <f>D15-C15</f>
        <v>-3599</v>
      </c>
      <c r="F15" s="50">
        <f>'[30]Sheet1'!$T$15</f>
        <v>244969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244969</v>
      </c>
      <c r="D18" s="26">
        <f>D15</f>
        <v>241370</v>
      </c>
      <c r="E18" s="26">
        <f>E15</f>
        <v>-3599</v>
      </c>
      <c r="F18" s="26">
        <f>F15</f>
        <v>244969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'[30]Sheet1'!$N$18</f>
        <v>95438</v>
      </c>
      <c r="D21" s="25">
        <f>'[30]Sheet1'!$R$18</f>
        <v>94036</v>
      </c>
      <c r="E21" s="25">
        <f>D21-C21</f>
        <v>-1402</v>
      </c>
      <c r="F21" s="25">
        <f>'[30]Sheet1'!$T$18</f>
        <v>95438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'[30]Sheet1'!$N$19</f>
        <v>8805</v>
      </c>
      <c r="D22" s="25">
        <f>'[30]Sheet1'!$R$19</f>
        <v>8676</v>
      </c>
      <c r="E22" s="25">
        <f>D22-C22</f>
        <v>-129</v>
      </c>
      <c r="F22" s="25">
        <f>'[30]Sheet1'!$T$19</f>
        <v>8805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'[30]Sheet1'!$N$20</f>
        <v>19608</v>
      </c>
      <c r="D23" s="25">
        <f>'[30]Sheet1'!$R$20</f>
        <v>19320</v>
      </c>
      <c r="E23" s="25">
        <f>D23-C23</f>
        <v>-288</v>
      </c>
      <c r="F23" s="25">
        <f>'[30]Sheet1'!$T$20</f>
        <v>19608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'[30]Sheet1'!$K$22</f>
        <v>30699</v>
      </c>
      <c r="D24" s="25">
        <f>'[30]Sheet1'!$R$22</f>
        <v>30248</v>
      </c>
      <c r="E24" s="25">
        <f>D24-C24</f>
        <v>-451</v>
      </c>
      <c r="F24" s="25">
        <f>'[30]Sheet1'!$T$22</f>
        <v>27958</v>
      </c>
      <c r="G24" s="25">
        <f>C24-F24</f>
        <v>2741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'[30]Sheet1'!$N$26</f>
        <v>172805</v>
      </c>
      <c r="D27" s="25">
        <f>'[30]Sheet1'!$R$26</f>
        <v>170266</v>
      </c>
      <c r="E27" s="25">
        <f>D27-C27</f>
        <v>-2539</v>
      </c>
      <c r="F27" s="25">
        <f>'[30]Sheet1'!$T$26</f>
        <v>172805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'[30]Sheet1'!$N$41+'[30]Sheet1'!$N$42</f>
        <v>29297</v>
      </c>
      <c r="D28" s="25">
        <f>'[30]Sheet1'!$R$41+'[30]Sheet1'!$R$42</f>
        <v>28867</v>
      </c>
      <c r="E28" s="25">
        <f>D28-C28</f>
        <v>-430</v>
      </c>
      <c r="F28" s="25">
        <f>'[30]Sheet1'!$T$41+'[30]Sheet1'!$T$42</f>
        <v>29297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356652</v>
      </c>
      <c r="D29" s="26">
        <f>SUM(D20:D28)</f>
        <v>351413</v>
      </c>
      <c r="E29" s="26">
        <f>SUM(E20:E28)</f>
        <v>-5239</v>
      </c>
      <c r="F29" s="26">
        <f>SUM(F20:F28)</f>
        <v>353911</v>
      </c>
      <c r="G29" s="26">
        <f>SUM(G20:G28)</f>
        <v>2741</v>
      </c>
      <c r="H29" s="62"/>
      <c r="I29" s="62"/>
    </row>
    <row r="30" spans="2:9" ht="13.5" thickBot="1">
      <c r="B30" s="7" t="s">
        <v>15</v>
      </c>
      <c r="C30" s="26">
        <f>C18+C29</f>
        <v>601621</v>
      </c>
      <c r="D30" s="26">
        <f>D18+D29</f>
        <v>592783</v>
      </c>
      <c r="E30" s="26">
        <f>E18+E29</f>
        <v>-8838</v>
      </c>
      <c r="F30" s="26">
        <f>F18+F29</f>
        <v>598880</v>
      </c>
      <c r="G30" s="26">
        <f>G18+G29</f>
        <v>2741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'[30]Sheet1'!$N$12</f>
        <v>432037</v>
      </c>
      <c r="D35" s="28">
        <f>'[30]Sheet1'!$R$12</f>
        <v>425690</v>
      </c>
      <c r="E35" s="28">
        <f>D35-C35</f>
        <v>-6347</v>
      </c>
      <c r="F35" s="28">
        <f>'[30]Sheet1'!$U$12-96670</f>
        <v>176411</v>
      </c>
      <c r="G35" s="28">
        <f>C35-F35</f>
        <v>255626</v>
      </c>
      <c r="H35" s="65"/>
      <c r="I35" s="62"/>
    </row>
    <row r="36" spans="2:9" ht="13.5" thickBot="1">
      <c r="B36" s="6" t="s">
        <v>18</v>
      </c>
      <c r="C36" s="29">
        <f>C35</f>
        <v>432037</v>
      </c>
      <c r="D36" s="29">
        <f>D35</f>
        <v>425690</v>
      </c>
      <c r="E36" s="29">
        <f>E35</f>
        <v>-6347</v>
      </c>
      <c r="F36" s="29">
        <f>F35</f>
        <v>176411</v>
      </c>
      <c r="G36" s="29">
        <f>G35</f>
        <v>255626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'[30]Sheet1'!$N$33</f>
        <v>584585</v>
      </c>
      <c r="D41" s="50">
        <f>'[30]Sheet1'!$R$33</f>
        <v>575996</v>
      </c>
      <c r="E41" s="50">
        <f>D41-C41</f>
        <v>-8589</v>
      </c>
      <c r="F41" s="50">
        <f>'[30]Sheet1'!$T$33</f>
        <v>750863</v>
      </c>
      <c r="G41" s="50">
        <f>C41-F41</f>
        <v>-166278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2022127.9-128571.58</f>
        <v>1893556.3199999998</v>
      </c>
      <c r="D43" s="50">
        <v>1903616.4</v>
      </c>
      <c r="E43" s="50">
        <f>D43-C43</f>
        <v>10060.080000000075</v>
      </c>
      <c r="F43" s="50">
        <f>'[30]Sheet1'!$T$36</f>
        <v>1860389</v>
      </c>
      <c r="G43" s="50">
        <f>C43-F43</f>
        <v>33167.31999999983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2478141.32</v>
      </c>
      <c r="D45" s="29">
        <f>D41+D43</f>
        <v>2479612.4</v>
      </c>
      <c r="E45" s="29">
        <f>E41+E43</f>
        <v>1471.0800000000745</v>
      </c>
      <c r="F45" s="29">
        <f>F41+F43</f>
        <v>2611252</v>
      </c>
      <c r="G45" s="29">
        <f>G41+G43</f>
        <v>-133110.68000000017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-13713.919999999925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-15185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1471.0800000000745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-133110.68000000017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-133110.68000000017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258367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258367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127577.18999999983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-13713.919999999925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335811.9899999998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-167078.99-393423.16</f>
        <v>-560502.1499999999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38">
      <selection activeCell="I47" sqref="I47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106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62076.78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'[31]Sheet1'!$N$15</f>
        <v>108778</v>
      </c>
      <c r="D15" s="50">
        <f>'[31]Sheet1'!$R$15</f>
        <v>109452</v>
      </c>
      <c r="E15" s="50">
        <f>D15-C15</f>
        <v>674</v>
      </c>
      <c r="F15" s="50">
        <f>'[31]Sheet1'!$T$15</f>
        <v>108778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108778</v>
      </c>
      <c r="D18" s="26">
        <f>D15</f>
        <v>109452</v>
      </c>
      <c r="E18" s="26">
        <f>E15</f>
        <v>674</v>
      </c>
      <c r="F18" s="26">
        <f>F15</f>
        <v>108778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'[31]Sheet1'!$N$18</f>
        <v>43446</v>
      </c>
      <c r="D21" s="25">
        <f>'[31]Sheet1'!$R$18</f>
        <v>43715</v>
      </c>
      <c r="E21" s="25">
        <f>D21-C21</f>
        <v>269</v>
      </c>
      <c r="F21" s="25">
        <f>'[31]Sheet1'!$T$18</f>
        <v>43446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'[31]Sheet1'!$N$19</f>
        <v>3995</v>
      </c>
      <c r="D22" s="25">
        <f>'[31]Sheet1'!$R$19</f>
        <v>4020</v>
      </c>
      <c r="E22" s="25">
        <f>D22-C22</f>
        <v>25</v>
      </c>
      <c r="F22" s="25">
        <f>'[31]Sheet1'!$T$19</f>
        <v>3995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'[31]Sheet1'!$N$20</f>
        <v>9103</v>
      </c>
      <c r="D23" s="25">
        <f>'[31]Sheet1'!$R$20</f>
        <v>9159</v>
      </c>
      <c r="E23" s="25">
        <f>D23-C23</f>
        <v>56</v>
      </c>
      <c r="F23" s="25">
        <f>'[31]Sheet1'!$T$20</f>
        <v>9103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'[31]Sheet1'!$K$22</f>
        <v>14213</v>
      </c>
      <c r="D24" s="25">
        <f>'[31]Sheet1'!$R$22</f>
        <v>14301</v>
      </c>
      <c r="E24" s="25">
        <f>D24-C24</f>
        <v>88</v>
      </c>
      <c r="F24" s="25">
        <f>'[31]Sheet1'!$T$22</f>
        <v>18525</v>
      </c>
      <c r="G24" s="25">
        <f>C24-F24</f>
        <v>-4312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'[31]Sheet1'!$N$26</f>
        <v>80959</v>
      </c>
      <c r="D27" s="25">
        <f>'[31]Sheet1'!$R$26</f>
        <v>81460</v>
      </c>
      <c r="E27" s="25">
        <f>D27-C27</f>
        <v>501</v>
      </c>
      <c r="F27" s="25">
        <f>'[31]Sheet1'!$T$26</f>
        <v>80959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'[31]Sheet1'!$N$41+'[31]Sheet1'!$N$42</f>
        <v>13264</v>
      </c>
      <c r="D28" s="25">
        <f>'[31]Sheet1'!$R$41+'[31]Sheet1'!$R$42</f>
        <v>13347</v>
      </c>
      <c r="E28" s="25">
        <f>D28-C28</f>
        <v>83</v>
      </c>
      <c r="F28" s="25">
        <f>'[31]Sheet1'!$T$41+'[31]Sheet1'!$T$42</f>
        <v>13264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164980</v>
      </c>
      <c r="D29" s="26">
        <f>SUM(D20:D28)</f>
        <v>166002</v>
      </c>
      <c r="E29" s="26">
        <f>SUM(E20:E28)</f>
        <v>1022</v>
      </c>
      <c r="F29" s="26">
        <f>SUM(F20:F28)</f>
        <v>169292</v>
      </c>
      <c r="G29" s="26">
        <f>SUM(G20:G28)</f>
        <v>-4312</v>
      </c>
      <c r="H29" s="62"/>
      <c r="I29" s="62"/>
    </row>
    <row r="30" spans="2:9" ht="13.5" thickBot="1">
      <c r="B30" s="7" t="s">
        <v>15</v>
      </c>
      <c r="C30" s="26">
        <f>C18+C29</f>
        <v>273758</v>
      </c>
      <c r="D30" s="26">
        <f>D18+D29</f>
        <v>275454</v>
      </c>
      <c r="E30" s="26">
        <f>E18+E29</f>
        <v>1696</v>
      </c>
      <c r="F30" s="26">
        <f>F18+F29</f>
        <v>278070</v>
      </c>
      <c r="G30" s="26">
        <f>G18+G29</f>
        <v>-4312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'[31]Sheet1'!$N$12</f>
        <v>199172</v>
      </c>
      <c r="D35" s="28">
        <f>'[31]Sheet1'!$R$12</f>
        <v>200405</v>
      </c>
      <c r="E35" s="28">
        <f>D35-C35</f>
        <v>1233</v>
      </c>
      <c r="F35" s="28">
        <f>'[31]Sheet1'!$U$12</f>
        <v>159193</v>
      </c>
      <c r="G35" s="28">
        <f>C35-F35</f>
        <v>39979</v>
      </c>
      <c r="H35" s="65"/>
      <c r="I35" s="62"/>
    </row>
    <row r="36" spans="2:9" ht="13.5" thickBot="1">
      <c r="B36" s="6" t="s">
        <v>18</v>
      </c>
      <c r="C36" s="29">
        <f>C35</f>
        <v>199172</v>
      </c>
      <c r="D36" s="29">
        <f>D35</f>
        <v>200405</v>
      </c>
      <c r="E36" s="29">
        <f>E35</f>
        <v>1233</v>
      </c>
      <c r="F36" s="29">
        <f>F35</f>
        <v>159193</v>
      </c>
      <c r="G36" s="29">
        <f>G35</f>
        <v>39979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'[31]Sheet1'!$N$33</f>
        <v>214059</v>
      </c>
      <c r="D41" s="50">
        <f>'[31]Sheet1'!$R$33</f>
        <v>215385</v>
      </c>
      <c r="E41" s="50">
        <f>D41-C41</f>
        <v>1326</v>
      </c>
      <c r="F41" s="50">
        <f>'[31]Sheet1'!$T$33</f>
        <v>309659</v>
      </c>
      <c r="G41" s="50">
        <f>C41-F41</f>
        <v>-95600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930527.59-79537.55</f>
        <v>850990.0399999999</v>
      </c>
      <c r="D43" s="50">
        <v>864383.92</v>
      </c>
      <c r="E43" s="50">
        <f>D43-C43</f>
        <v>13393.880000000121</v>
      </c>
      <c r="F43" s="50">
        <f>'[31]Sheet1'!$T$36</f>
        <v>899028</v>
      </c>
      <c r="G43" s="50">
        <f>C43-F43</f>
        <v>-48037.96000000008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1065049.04</v>
      </c>
      <c r="D45" s="29">
        <f>D41+D43</f>
        <v>1079768.92</v>
      </c>
      <c r="E45" s="29">
        <f>E41+E43</f>
        <v>14719.880000000121</v>
      </c>
      <c r="F45" s="29">
        <f>F41+F43</f>
        <v>1208687</v>
      </c>
      <c r="G45" s="29">
        <f>G41+G43</f>
        <v>-143637.96000000008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17648.88000000012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2929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14719.880000000121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-143637.96000000008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-143637.96000000008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35667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35667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-105650.09000000008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17648.88000000012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-43573.310000000085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-296906.23-55319.57</f>
        <v>-352225.8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19"/>
      <c r="D82" s="19"/>
      <c r="E82" s="19"/>
      <c r="F82" s="19"/>
      <c r="G82" s="19"/>
      <c r="H82" s="19"/>
      <c r="I82" s="19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1:3" s="11" customFormat="1" ht="12.75">
      <c r="A84" s="37"/>
      <c r="C84" s="21" t="s">
        <v>20</v>
      </c>
    </row>
    <row r="85" spans="2:6" ht="15" customHeight="1">
      <c r="B85" s="17"/>
      <c r="C85" s="68"/>
      <c r="D85" s="68"/>
      <c r="E85" s="68"/>
      <c r="F85" s="68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36">
      <selection activeCell="D45" sqref="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107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-18364.100000000006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'[32]Sheet1'!$N$15</f>
        <v>254470</v>
      </c>
      <c r="D15" s="50">
        <f>'[32]Sheet1'!$R$15</f>
        <v>244503</v>
      </c>
      <c r="E15" s="50">
        <f>D15-C15</f>
        <v>-9967</v>
      </c>
      <c r="F15" s="50">
        <f>'[32]Sheet1'!$T$15</f>
        <v>254470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254470</v>
      </c>
      <c r="D18" s="26">
        <f>D15</f>
        <v>244503</v>
      </c>
      <c r="E18" s="26">
        <f>E15</f>
        <v>-9967</v>
      </c>
      <c r="F18" s="26">
        <f>F15</f>
        <v>254470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'[32]Sheet1'!$N$18</f>
        <v>94063</v>
      </c>
      <c r="D21" s="25">
        <f>'[32]Sheet1'!$R$18</f>
        <v>90379</v>
      </c>
      <c r="E21" s="25">
        <f>D21-C21</f>
        <v>-3684</v>
      </c>
      <c r="F21" s="25">
        <f>'[32]Sheet1'!$T$18</f>
        <v>94063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'[32]Sheet1'!$N$19</f>
        <v>8677</v>
      </c>
      <c r="D22" s="25">
        <f>'[32]Sheet1'!$R$19</f>
        <v>8337</v>
      </c>
      <c r="E22" s="25">
        <f>D22-C22</f>
        <v>-340</v>
      </c>
      <c r="F22" s="25">
        <f>'[32]Sheet1'!$T$19</f>
        <v>8677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'[32]Sheet1'!$N$20</f>
        <v>19409</v>
      </c>
      <c r="D23" s="25">
        <f>'[32]Sheet1'!$R$20</f>
        <v>18648</v>
      </c>
      <c r="E23" s="25">
        <f>D23-C23</f>
        <v>-761</v>
      </c>
      <c r="F23" s="25">
        <f>'[32]Sheet1'!$T$20</f>
        <v>19409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'[32]Sheet1'!$K$22</f>
        <v>30488</v>
      </c>
      <c r="D24" s="25">
        <f>'[32]Sheet1'!$R$22</f>
        <v>29294</v>
      </c>
      <c r="E24" s="25">
        <f>D24-C24</f>
        <v>-1194</v>
      </c>
      <c r="F24" s="25">
        <f>'[32]Sheet1'!$T$22</f>
        <v>27559</v>
      </c>
      <c r="G24" s="25">
        <f>C24-F24</f>
        <v>2929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'[32]Sheet1'!$N$26</f>
        <v>173062</v>
      </c>
      <c r="D27" s="25">
        <f>'[32]Sheet1'!$R$26</f>
        <v>166284</v>
      </c>
      <c r="E27" s="25">
        <f>D27-C27</f>
        <v>-6778</v>
      </c>
      <c r="F27" s="25">
        <f>'[32]Sheet1'!$T$26</f>
        <v>173062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'[32]Sheet1'!$N$41+'[32]Sheet1'!$N$42</f>
        <v>28836</v>
      </c>
      <c r="D28" s="25">
        <f>'[32]Sheet1'!$R$41+'[32]Sheet1'!$R$42</f>
        <v>27706</v>
      </c>
      <c r="E28" s="25">
        <f>D28-C28</f>
        <v>-1130</v>
      </c>
      <c r="F28" s="25">
        <f>'[32]Sheet1'!$T$41+'[32]Sheet1'!$T$42</f>
        <v>28836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354535</v>
      </c>
      <c r="D29" s="26">
        <f>SUM(D20:D28)</f>
        <v>340648</v>
      </c>
      <c r="E29" s="26">
        <f>SUM(E20:E28)</f>
        <v>-13887</v>
      </c>
      <c r="F29" s="26">
        <f>SUM(F20:F28)</f>
        <v>351606</v>
      </c>
      <c r="G29" s="26">
        <f>SUM(G20:G28)</f>
        <v>2929</v>
      </c>
      <c r="H29" s="62"/>
      <c r="I29" s="62"/>
    </row>
    <row r="30" spans="2:9" ht="13.5" thickBot="1">
      <c r="B30" s="7" t="s">
        <v>15</v>
      </c>
      <c r="C30" s="26">
        <f>C18+C29</f>
        <v>609005</v>
      </c>
      <c r="D30" s="26">
        <f>D18+D29</f>
        <v>585151</v>
      </c>
      <c r="E30" s="26">
        <f>E18+E29</f>
        <v>-23854</v>
      </c>
      <c r="F30" s="26">
        <f>F18+F29</f>
        <v>606076</v>
      </c>
      <c r="G30" s="26">
        <f>G18+G29</f>
        <v>2929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'[32]Sheet1'!$N$12</f>
        <v>431624</v>
      </c>
      <c r="D35" s="28">
        <f>'[32]Sheet1'!$R$12</f>
        <v>414718</v>
      </c>
      <c r="E35" s="28">
        <f>D35-C35</f>
        <v>-16906</v>
      </c>
      <c r="F35" s="28">
        <f>'[32]Sheet1'!$U$12</f>
        <v>196927</v>
      </c>
      <c r="G35" s="28">
        <f>C35-F35</f>
        <v>234697</v>
      </c>
      <c r="H35" s="65"/>
      <c r="I35" s="62"/>
    </row>
    <row r="36" spans="2:9" ht="13.5" thickBot="1">
      <c r="B36" s="6" t="s">
        <v>18</v>
      </c>
      <c r="C36" s="29">
        <f>C35</f>
        <v>431624</v>
      </c>
      <c r="D36" s="29">
        <f>D35</f>
        <v>414718</v>
      </c>
      <c r="E36" s="29">
        <f>E35</f>
        <v>-16906</v>
      </c>
      <c r="F36" s="29">
        <f>F35</f>
        <v>196927</v>
      </c>
      <c r="G36" s="29">
        <f>G35</f>
        <v>234697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'[32]Sheet1'!$N$33</f>
        <v>631561</v>
      </c>
      <c r="D41" s="50">
        <f>'[32]Sheet1'!$R$33</f>
        <v>606825</v>
      </c>
      <c r="E41" s="50">
        <f>D41-C41</f>
        <v>-24736</v>
      </c>
      <c r="F41" s="50">
        <f>'[32]Sheet1'!$T$33</f>
        <v>854452</v>
      </c>
      <c r="G41" s="50">
        <f>C41-F41</f>
        <v>-222891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2058758.75-177401.39</f>
        <v>1881357.3599999999</v>
      </c>
      <c r="D43" s="50">
        <v>1884395.9</v>
      </c>
      <c r="E43" s="50">
        <f>D43-C43</f>
        <v>3038.5400000000373</v>
      </c>
      <c r="F43" s="50">
        <f>'[32]Sheet1'!$T$36</f>
        <v>2026502</v>
      </c>
      <c r="G43" s="50">
        <f>C43-F43</f>
        <v>-145144.64000000013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2512918.36</v>
      </c>
      <c r="D45" s="29">
        <f>D41+D43</f>
        <v>2491220.9</v>
      </c>
      <c r="E45" s="29">
        <f>E41+E43</f>
        <v>-21697.459999999963</v>
      </c>
      <c r="F45" s="29">
        <f>F41+F43</f>
        <v>2880954</v>
      </c>
      <c r="G45" s="29">
        <f>G41+G43</f>
        <v>-368035.64000000013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-62457.45999999996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-40760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-21697.459999999963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-368035.64000000013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-368035.64000000013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237626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237626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-128088.77000000014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-62457.45999999996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-146452.87000000014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-667181.82-171686.19</f>
        <v>-838868.01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1:3" s="11" customFormat="1" ht="12.75">
      <c r="A85" s="37"/>
      <c r="C85" s="21" t="s">
        <v>20</v>
      </c>
    </row>
    <row r="86" spans="2:6" ht="15">
      <c r="B86" s="17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57">
      <selection activeCell="F75" sqref="F7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108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-60774.14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'[33]Sheet1'!$N$15</f>
        <v>101268</v>
      </c>
      <c r="D15" s="50">
        <f>'[33]Sheet1'!$R$15</f>
        <v>100158</v>
      </c>
      <c r="E15" s="50">
        <f>D15-C15</f>
        <v>-1110</v>
      </c>
      <c r="F15" s="50">
        <f>'[33]Sheet1'!$T$15</f>
        <v>101268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101268</v>
      </c>
      <c r="D18" s="26">
        <f>D15</f>
        <v>100158</v>
      </c>
      <c r="E18" s="26">
        <f>E15</f>
        <v>-1110</v>
      </c>
      <c r="F18" s="26">
        <f>F15</f>
        <v>101268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'[33]Sheet1'!$N$18</f>
        <v>44110</v>
      </c>
      <c r="D21" s="25">
        <f>'[33]Sheet1'!$R$18</f>
        <v>43626</v>
      </c>
      <c r="E21" s="25">
        <f>D21-C21</f>
        <v>-484</v>
      </c>
      <c r="F21" s="25">
        <f>'[33]Sheet1'!$T$18</f>
        <v>44110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'[33]Sheet1'!$N$19</f>
        <v>4076</v>
      </c>
      <c r="D22" s="25">
        <f>'[33]Sheet1'!$R$19</f>
        <v>4032</v>
      </c>
      <c r="E22" s="25">
        <f>D22-C22</f>
        <v>-44</v>
      </c>
      <c r="F22" s="25">
        <f>'[33]Sheet1'!$T$19</f>
        <v>4076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'[33]Sheet1'!$N$20</f>
        <v>9079</v>
      </c>
      <c r="D23" s="25">
        <f>'[33]Sheet1'!$R$20</f>
        <v>8980</v>
      </c>
      <c r="E23" s="25">
        <f>D23-C23</f>
        <v>-99</v>
      </c>
      <c r="F23" s="25">
        <f>'[33]Sheet1'!$T$20</f>
        <v>9079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'[33]Sheet1'!$K$22</f>
        <v>14519</v>
      </c>
      <c r="D24" s="25">
        <f>'[33]Sheet1'!$R$22</f>
        <v>14360</v>
      </c>
      <c r="E24" s="25">
        <f>D24-C24</f>
        <v>-159</v>
      </c>
      <c r="F24" s="25">
        <f>'[33]Sheet1'!$T$22</f>
        <v>22409</v>
      </c>
      <c r="G24" s="25">
        <f>C24-F24</f>
        <v>-7890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'[33]Sheet1'!$N$26</f>
        <v>80977</v>
      </c>
      <c r="D27" s="25">
        <f>'[33]Sheet1'!$R$26</f>
        <v>80089</v>
      </c>
      <c r="E27" s="25">
        <f>D27-C27</f>
        <v>-888</v>
      </c>
      <c r="F27" s="25">
        <f>'[33]Sheet1'!$T$26</f>
        <v>80977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'[33]Sheet1'!$N$41+'[33]Sheet1'!$N$42</f>
        <v>13532</v>
      </c>
      <c r="D28" s="25">
        <f>'[33]Sheet1'!$R$41+'[33]Sheet1'!$R$42</f>
        <v>13384</v>
      </c>
      <c r="E28" s="25">
        <f>D28-C28</f>
        <v>-148</v>
      </c>
      <c r="F28" s="25">
        <f>'[33]Sheet1'!$T$41+'[33]Sheet1'!$T$42</f>
        <v>13532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166293</v>
      </c>
      <c r="D29" s="26">
        <f>SUM(D20:D28)</f>
        <v>164471</v>
      </c>
      <c r="E29" s="26">
        <f>SUM(E20:E28)</f>
        <v>-1822</v>
      </c>
      <c r="F29" s="26">
        <f>SUM(F20:F28)</f>
        <v>174183</v>
      </c>
      <c r="G29" s="26">
        <f>SUM(G20:G28)</f>
        <v>-7890</v>
      </c>
      <c r="H29" s="62"/>
      <c r="I29" s="62"/>
    </row>
    <row r="30" spans="2:9" ht="13.5" thickBot="1">
      <c r="B30" s="7" t="s">
        <v>15</v>
      </c>
      <c r="C30" s="26">
        <f>C18+C29</f>
        <v>267561</v>
      </c>
      <c r="D30" s="26">
        <f>D18+D29</f>
        <v>264629</v>
      </c>
      <c r="E30" s="26">
        <f>E18+E29</f>
        <v>-2932</v>
      </c>
      <c r="F30" s="26">
        <f>F18+F29</f>
        <v>275451</v>
      </c>
      <c r="G30" s="26">
        <f>G18+G29</f>
        <v>-7890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'[33]Sheet1'!$N$12</f>
        <v>200968</v>
      </c>
      <c r="D35" s="28">
        <f>'[33]Sheet1'!$R$12</f>
        <v>198764</v>
      </c>
      <c r="E35" s="28">
        <f>D35-C35</f>
        <v>-2204</v>
      </c>
      <c r="F35" s="74">
        <f>'[33]Sheet1'!$U$12-195707</f>
        <v>111701</v>
      </c>
      <c r="G35" s="28">
        <f>C35-F35</f>
        <v>89267</v>
      </c>
      <c r="H35" s="65"/>
      <c r="I35" s="62"/>
    </row>
    <row r="36" spans="2:9" ht="13.5" thickBot="1">
      <c r="B36" s="6" t="s">
        <v>18</v>
      </c>
      <c r="C36" s="29">
        <f>C35</f>
        <v>200968</v>
      </c>
      <c r="D36" s="29">
        <f>D35</f>
        <v>198764</v>
      </c>
      <c r="E36" s="29">
        <f>E35</f>
        <v>-2204</v>
      </c>
      <c r="F36" s="29">
        <f>F35</f>
        <v>111701</v>
      </c>
      <c r="G36" s="29">
        <f>G35</f>
        <v>89267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'[33]Sheet1'!$N$33</f>
        <v>252049</v>
      </c>
      <c r="D41" s="50">
        <f>'[33]Sheet1'!$R$33</f>
        <v>249284</v>
      </c>
      <c r="E41" s="50">
        <f>D41-C41</f>
        <v>-2765</v>
      </c>
      <c r="F41" s="50">
        <f>'[33]Sheet1'!$T$33</f>
        <v>320536</v>
      </c>
      <c r="G41" s="50">
        <f>C41-F41</f>
        <v>-68487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957132.74-95807.34</f>
        <v>861325.4</v>
      </c>
      <c r="D43" s="50">
        <v>898175.51</v>
      </c>
      <c r="E43" s="50">
        <f>D43-C43</f>
        <v>36850.109999999986</v>
      </c>
      <c r="F43" s="50">
        <f>'[33]Sheet1'!$T$36</f>
        <v>913043</v>
      </c>
      <c r="G43" s="50">
        <f>C43-F43</f>
        <v>-51717.59999999998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1113374.4</v>
      </c>
      <c r="D45" s="29">
        <f>D41+D43</f>
        <v>1147459.51</v>
      </c>
      <c r="E45" s="29">
        <f>E41+E43</f>
        <v>34085.109999999986</v>
      </c>
      <c r="F45" s="29">
        <f>F41+F43</f>
        <v>1233579</v>
      </c>
      <c r="G45" s="29">
        <f>G41+G43</f>
        <v>-120204.59999999998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28949.109999999986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-5136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34085.109999999986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-120204.59999999998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-120204.59999999998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81377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81377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-36506.729999999974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28949.109999999986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-97280.86999999997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-131638.64-67844.29</f>
        <v>-199482.93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1:3" s="11" customFormat="1" ht="12.75">
      <c r="A85" s="37"/>
      <c r="C85" s="21" t="s">
        <v>20</v>
      </c>
    </row>
    <row r="86" spans="2:6" ht="15">
      <c r="B86" s="17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41">
      <selection activeCell="D45" sqref="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15"/>
      <c r="D1" s="15"/>
      <c r="E1" s="15"/>
      <c r="F1" s="15"/>
    </row>
    <row r="2" spans="1:6" ht="18.75">
      <c r="A2" s="42"/>
      <c r="B2" s="15"/>
      <c r="D2" s="2" t="s">
        <v>109</v>
      </c>
      <c r="E2" s="15"/>
      <c r="F2" s="15"/>
    </row>
    <row r="3" spans="2:6" ht="18.75">
      <c r="B3" s="15"/>
      <c r="D3" s="3" t="s">
        <v>45</v>
      </c>
      <c r="E3" s="15"/>
      <c r="F3" s="15"/>
    </row>
    <row r="4" spans="2:6" ht="9.75" customHeight="1">
      <c r="B4" s="12"/>
      <c r="C4" s="14"/>
      <c r="D4" s="14"/>
      <c r="E4" s="14"/>
      <c r="F4" s="14"/>
    </row>
    <row r="5" spans="2:6" ht="12" customHeight="1">
      <c r="B5" s="12"/>
      <c r="C5" s="14"/>
      <c r="D5" s="14"/>
      <c r="E5" s="14"/>
      <c r="F5" s="14"/>
    </row>
    <row r="6" spans="2:6" ht="15.75">
      <c r="B6" s="46" t="s">
        <v>54</v>
      </c>
      <c r="C6" s="14"/>
      <c r="D6" s="47">
        <v>-150850.02000000002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'[34]Sheet1'!$N$15</f>
        <v>351177</v>
      </c>
      <c r="D15" s="50">
        <f>'[34]Sheet1'!$R$15</f>
        <v>328218</v>
      </c>
      <c r="E15" s="50">
        <f>D15-C15</f>
        <v>-22959</v>
      </c>
      <c r="F15" s="50">
        <f>'[34]Sheet1'!$T$15</f>
        <v>351177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351177</v>
      </c>
      <c r="D18" s="26">
        <f>D15</f>
        <v>328218</v>
      </c>
      <c r="E18" s="26">
        <f>E15</f>
        <v>-22959</v>
      </c>
      <c r="F18" s="26">
        <f>F15</f>
        <v>351177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'[34]Sheet1'!$N$18</f>
        <v>94139</v>
      </c>
      <c r="D21" s="25">
        <f>'[34]Sheet1'!$R$18</f>
        <v>87984</v>
      </c>
      <c r="E21" s="25">
        <f>D21-C21</f>
        <v>-6155</v>
      </c>
      <c r="F21" s="25">
        <f>'[34]Sheet1'!$T$18</f>
        <v>94139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'[34]Sheet1'!$N$19</f>
        <v>8638</v>
      </c>
      <c r="D22" s="25">
        <f>'[34]Sheet1'!$R$19</f>
        <v>8073</v>
      </c>
      <c r="E22" s="25">
        <f>D22-C22</f>
        <v>-565</v>
      </c>
      <c r="F22" s="25">
        <f>'[34]Sheet1'!$T$19</f>
        <v>8638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'[34]Sheet1'!$N$20</f>
        <v>19733</v>
      </c>
      <c r="D23" s="25">
        <f>'[34]Sheet1'!$R$20</f>
        <v>18443</v>
      </c>
      <c r="E23" s="25">
        <f>D23-C23</f>
        <v>-1290</v>
      </c>
      <c r="F23" s="25">
        <f>'[34]Sheet1'!$T$20</f>
        <v>19733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'[34]Sheet1'!$K$22</f>
        <v>30094</v>
      </c>
      <c r="D24" s="25">
        <f>'[34]Sheet1'!$R$22</f>
        <v>28127</v>
      </c>
      <c r="E24" s="25">
        <f>D24-C24</f>
        <v>-1967</v>
      </c>
      <c r="F24" s="25">
        <f>'[34]Sheet1'!$T$22</f>
        <v>30580</v>
      </c>
      <c r="G24" s="25">
        <f>C24-F24</f>
        <v>-486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'[34]Sheet1'!$N$26</f>
        <v>175547</v>
      </c>
      <c r="D27" s="25">
        <f>'[34]Sheet1'!$R$26</f>
        <v>164070</v>
      </c>
      <c r="E27" s="25">
        <f>D27-C27</f>
        <v>-11477</v>
      </c>
      <c r="F27" s="25">
        <f>'[34]Sheet1'!$T$26</f>
        <v>175547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'[34]Sheet1'!$N$41+'[34]Sheet1'!$N$42</f>
        <v>28726</v>
      </c>
      <c r="D28" s="25">
        <f>'[34]Sheet1'!$R$41+'[34]Sheet1'!$R$42</f>
        <v>26848</v>
      </c>
      <c r="E28" s="25">
        <f>D28-C28</f>
        <v>-1878</v>
      </c>
      <c r="F28" s="25">
        <f>'[34]Sheet1'!$T$41+'[34]Sheet1'!$T$42</f>
        <v>28726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356877</v>
      </c>
      <c r="D29" s="26">
        <f>SUM(D20:D28)</f>
        <v>333545</v>
      </c>
      <c r="E29" s="26">
        <f>SUM(E20:E28)</f>
        <v>-23332</v>
      </c>
      <c r="F29" s="26">
        <f>SUM(F20:F28)</f>
        <v>357363</v>
      </c>
      <c r="G29" s="26">
        <f>SUM(G20:G28)</f>
        <v>-486</v>
      </c>
      <c r="H29" s="62"/>
      <c r="I29" s="62"/>
    </row>
    <row r="30" spans="2:9" ht="13.5" thickBot="1">
      <c r="B30" s="7" t="s">
        <v>15</v>
      </c>
      <c r="C30" s="26">
        <f>C18+C29</f>
        <v>708054</v>
      </c>
      <c r="D30" s="26">
        <f>D18+D29</f>
        <v>661763</v>
      </c>
      <c r="E30" s="26">
        <f>E18+E29</f>
        <v>-46291</v>
      </c>
      <c r="F30" s="26">
        <f>F18+F29</f>
        <v>708540</v>
      </c>
      <c r="G30" s="26">
        <f>G18+G29</f>
        <v>-486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'[34]Sheet1'!$N$12</f>
        <v>436456</v>
      </c>
      <c r="D35" s="28">
        <f>'[34]Sheet1'!$R$12</f>
        <v>407922</v>
      </c>
      <c r="E35" s="28">
        <f>D35-C35</f>
        <v>-28534</v>
      </c>
      <c r="F35" s="28">
        <f>'[34]Sheet1'!$U$12</f>
        <v>254365</v>
      </c>
      <c r="G35" s="28">
        <f>C35-F35</f>
        <v>182091</v>
      </c>
      <c r="H35" s="65"/>
      <c r="I35" s="62"/>
    </row>
    <row r="36" spans="2:9" ht="13.5" thickBot="1">
      <c r="B36" s="6" t="s">
        <v>18</v>
      </c>
      <c r="C36" s="29">
        <f>C35</f>
        <v>436456</v>
      </c>
      <c r="D36" s="29">
        <f>D35</f>
        <v>407922</v>
      </c>
      <c r="E36" s="29">
        <f>E35</f>
        <v>-28534</v>
      </c>
      <c r="F36" s="29">
        <f>F35</f>
        <v>254365</v>
      </c>
      <c r="G36" s="29">
        <f>G35</f>
        <v>182091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46</v>
      </c>
      <c r="C41" s="50">
        <f>'[34]Sheet1'!$N$33</f>
        <v>844794</v>
      </c>
      <c r="D41" s="50">
        <f>'[34]Sheet1'!$R$33</f>
        <v>789564</v>
      </c>
      <c r="E41" s="50">
        <f>D41-C41</f>
        <v>-55230</v>
      </c>
      <c r="F41" s="50">
        <f>'[34]Sheet1'!$T$33</f>
        <v>1186924</v>
      </c>
      <c r="G41" s="50">
        <f>C41-F41</f>
        <v>-342130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2106611.65-239818.9</f>
        <v>1866792.75</v>
      </c>
      <c r="D43" s="50">
        <v>1881428.6</v>
      </c>
      <c r="E43" s="50">
        <f>D43-C43</f>
        <v>14635.850000000093</v>
      </c>
      <c r="F43" s="50">
        <f>'[34]Sheet1'!$T$36</f>
        <v>2102402</v>
      </c>
      <c r="G43" s="50">
        <f>C43-F43</f>
        <v>-235609.25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2711586.75</v>
      </c>
      <c r="D45" s="29">
        <f>D41+D43</f>
        <v>2670992.6</v>
      </c>
      <c r="E45" s="29">
        <f>E41+E43</f>
        <v>-40594.14999999991</v>
      </c>
      <c r="F45" s="29">
        <f>F41+F43</f>
        <v>3289326</v>
      </c>
      <c r="G45" s="29">
        <f>G41+G43</f>
        <v>-577739.25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-115419.1499999999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-74825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-40594.14999999991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-577739.25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-577739.25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181605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181605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-393813.38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-115419.1499999999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-544663.4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-596927.76-219997.17</f>
        <v>-816924.93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6" ht="15">
      <c r="B84" s="17"/>
      <c r="C84" s="16"/>
      <c r="D84" s="16"/>
      <c r="E84" s="16"/>
      <c r="F84" s="16"/>
    </row>
    <row r="85" spans="2:6" ht="14.25">
      <c r="B85" s="16"/>
      <c r="C85" s="16"/>
      <c r="D85" s="16"/>
      <c r="E85" s="16"/>
      <c r="F85" s="16"/>
    </row>
    <row r="86" spans="2:6" ht="14.25">
      <c r="B86" s="16"/>
      <c r="C86" s="16"/>
      <c r="D86" s="16"/>
      <c r="E86" s="16"/>
      <c r="F86" s="16"/>
    </row>
    <row r="87" spans="2:6" ht="14.25">
      <c r="B87" s="16"/>
      <c r="C87" s="16"/>
      <c r="D87" s="16"/>
      <c r="E87" s="16"/>
      <c r="F87" s="16"/>
    </row>
    <row r="88" spans="2:6" ht="14.25">
      <c r="B88" s="16"/>
      <c r="C88" s="16"/>
      <c r="D88" s="16"/>
      <c r="E88" s="16"/>
      <c r="F88" s="16"/>
    </row>
    <row r="89" spans="2:6" ht="14.25">
      <c r="B89" s="16"/>
      <c r="C89" s="16"/>
      <c r="D89" s="16"/>
      <c r="E89" s="16"/>
      <c r="F89" s="16"/>
    </row>
    <row r="90" spans="2:6" ht="14.25">
      <c r="B90" s="16"/>
      <c r="C90" s="16"/>
      <c r="D90" s="16"/>
      <c r="E90" s="16"/>
      <c r="F90" s="16"/>
    </row>
    <row r="91" spans="2:6" ht="14.25">
      <c r="B91" s="16"/>
      <c r="C91" s="16"/>
      <c r="D91" s="16"/>
      <c r="E91" s="16"/>
      <c r="F91" s="16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46">
      <selection activeCell="J56" sqref="J56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15"/>
      <c r="D1" s="15"/>
      <c r="E1" s="15"/>
      <c r="F1" s="15"/>
    </row>
    <row r="2" spans="1:6" ht="18.75">
      <c r="A2" s="42"/>
      <c r="B2" s="15"/>
      <c r="D2" s="2" t="s">
        <v>110</v>
      </c>
      <c r="E2" s="15"/>
      <c r="F2" s="15"/>
    </row>
    <row r="3" spans="2:6" ht="18.75">
      <c r="B3" s="15"/>
      <c r="D3" s="3" t="s">
        <v>45</v>
      </c>
      <c r="E3" s="15"/>
      <c r="F3" s="15"/>
    </row>
    <row r="4" spans="2:6" ht="9.75" customHeight="1">
      <c r="B4" s="12"/>
      <c r="C4" s="14"/>
      <c r="D4" s="14"/>
      <c r="E4" s="14"/>
      <c r="F4" s="14"/>
    </row>
    <row r="5" spans="2:6" ht="12" customHeight="1">
      <c r="B5" s="12"/>
      <c r="C5" s="14"/>
      <c r="D5" s="14"/>
      <c r="E5" s="14"/>
      <c r="F5" s="14"/>
    </row>
    <row r="6" spans="2:6" ht="15.75">
      <c r="B6" s="46" t="s">
        <v>54</v>
      </c>
      <c r="C6" s="14"/>
      <c r="D6" s="47">
        <v>6083.220000000001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'[35]Sheet1'!$N$15</f>
        <v>98446</v>
      </c>
      <c r="D15" s="50">
        <f>'[35]Sheet1'!$R$15</f>
        <v>89447</v>
      </c>
      <c r="E15" s="50">
        <f>D15-C15</f>
        <v>-8999</v>
      </c>
      <c r="F15" s="50">
        <f>'[35]Sheet1'!$T$15</f>
        <v>98446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98446</v>
      </c>
      <c r="D18" s="26">
        <f>D15</f>
        <v>89447</v>
      </c>
      <c r="E18" s="26">
        <f>E15</f>
        <v>-8999</v>
      </c>
      <c r="F18" s="26">
        <f>F15</f>
        <v>98446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'[35]Sheet1'!$N$18</f>
        <v>44872</v>
      </c>
      <c r="D21" s="25">
        <f>'[35]Sheet1'!$R$18</f>
        <v>40770</v>
      </c>
      <c r="E21" s="25">
        <f>D21-C21</f>
        <v>-4102</v>
      </c>
      <c r="F21" s="25">
        <f>'[35]Sheet1'!$T$18</f>
        <v>44872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'[35]Sheet1'!$N$19</f>
        <v>4133</v>
      </c>
      <c r="D22" s="25">
        <f>'[35]Sheet1'!$R$19</f>
        <v>3755</v>
      </c>
      <c r="E22" s="25">
        <f>D22-C22</f>
        <v>-378</v>
      </c>
      <c r="F22" s="25">
        <f>'[35]Sheet1'!$T$19</f>
        <v>4133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'[35]Sheet1'!$N$20</f>
        <v>9297</v>
      </c>
      <c r="D23" s="25">
        <f>'[35]Sheet1'!$R$20</f>
        <v>8447</v>
      </c>
      <c r="E23" s="25">
        <f>D23-C23</f>
        <v>-850</v>
      </c>
      <c r="F23" s="25">
        <f>'[35]Sheet1'!$T$20</f>
        <v>9297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'[35]Sheet1'!$K$22</f>
        <v>14487</v>
      </c>
      <c r="D24" s="25">
        <f>'[35]Sheet1'!$R$22</f>
        <v>13163</v>
      </c>
      <c r="E24" s="25">
        <f>D24-C24</f>
        <v>-1324</v>
      </c>
      <c r="F24" s="25">
        <f>'[35]Sheet1'!$T$22</f>
        <v>22601</v>
      </c>
      <c r="G24" s="25">
        <f>C24-F24</f>
        <v>-8114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'[35]Sheet1'!$N$26</f>
        <v>82850</v>
      </c>
      <c r="D27" s="25">
        <f>'[35]Sheet1'!$R$26</f>
        <v>75276</v>
      </c>
      <c r="E27" s="25">
        <f>D27-C27</f>
        <v>-7574</v>
      </c>
      <c r="F27" s="25">
        <f>'[35]Sheet1'!$T$26</f>
        <v>82850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'[35]Sheet1'!$N$41+'[35]Sheet1'!$N$42</f>
        <v>13738</v>
      </c>
      <c r="D28" s="25">
        <f>'[35]Sheet1'!$R$41+'[35]Sheet1'!$R$42</f>
        <v>12482</v>
      </c>
      <c r="E28" s="25">
        <f>D28-C28</f>
        <v>-1256</v>
      </c>
      <c r="F28" s="25">
        <f>'[35]Sheet1'!$T$41+'[35]Sheet1'!$T$42</f>
        <v>13738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169377</v>
      </c>
      <c r="D29" s="26">
        <f>SUM(D20:D28)</f>
        <v>153893</v>
      </c>
      <c r="E29" s="26">
        <f>SUM(E20:E28)</f>
        <v>-15484</v>
      </c>
      <c r="F29" s="26">
        <f>SUM(F20:F28)</f>
        <v>177491</v>
      </c>
      <c r="G29" s="26">
        <f>SUM(G20:G28)</f>
        <v>-8114</v>
      </c>
      <c r="H29" s="62"/>
      <c r="I29" s="62"/>
    </row>
    <row r="30" spans="2:9" ht="13.5" thickBot="1">
      <c r="B30" s="7" t="s">
        <v>15</v>
      </c>
      <c r="C30" s="26">
        <f>C18+C29</f>
        <v>267823</v>
      </c>
      <c r="D30" s="26">
        <f>D18+D29</f>
        <v>243340</v>
      </c>
      <c r="E30" s="26">
        <f>E18+E29</f>
        <v>-24483</v>
      </c>
      <c r="F30" s="26">
        <f>F18+F29</f>
        <v>275937</v>
      </c>
      <c r="G30" s="26">
        <f>G18+G29</f>
        <v>-8114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'[35]Sheet1'!$N$12</f>
        <v>201370</v>
      </c>
      <c r="D35" s="28">
        <f>'[35]Sheet1'!$R$12</f>
        <v>182962</v>
      </c>
      <c r="E35" s="28">
        <f>D35-C35</f>
        <v>-18408</v>
      </c>
      <c r="F35" s="28">
        <f>'[35]Sheet1'!$U$12-98216</f>
        <v>159965</v>
      </c>
      <c r="G35" s="28">
        <f>C35-F35</f>
        <v>41405</v>
      </c>
      <c r="H35" s="65"/>
      <c r="I35" s="62"/>
    </row>
    <row r="36" spans="2:9" ht="13.5" thickBot="1">
      <c r="B36" s="6" t="s">
        <v>18</v>
      </c>
      <c r="C36" s="29">
        <f>C35</f>
        <v>201370</v>
      </c>
      <c r="D36" s="29">
        <f>D35</f>
        <v>182962</v>
      </c>
      <c r="E36" s="29">
        <f>E35</f>
        <v>-18408</v>
      </c>
      <c r="F36" s="29">
        <f>F35</f>
        <v>159965</v>
      </c>
      <c r="G36" s="29">
        <f>G35</f>
        <v>41405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'[35]Sheet1'!$N$33</f>
        <v>267048</v>
      </c>
      <c r="D41" s="50">
        <f>'[35]Sheet1'!$R$33</f>
        <v>242637</v>
      </c>
      <c r="E41" s="50">
        <f>D41-C41</f>
        <v>-24411</v>
      </c>
      <c r="F41" s="50">
        <f>'[35]Sheet1'!$T$33</f>
        <v>361760</v>
      </c>
      <c r="G41" s="50">
        <f>C41-F41</f>
        <v>-94712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1043127.94-132888.3</f>
        <v>910239.6399999999</v>
      </c>
      <c r="D43" s="50">
        <v>899908.72</v>
      </c>
      <c r="E43" s="50">
        <f>D43-C43</f>
        <v>-10330.919999999925</v>
      </c>
      <c r="F43" s="50">
        <f>'[35]Sheet1'!$T$36</f>
        <v>910736</v>
      </c>
      <c r="G43" s="50">
        <f>C43-F43</f>
        <v>-496.36000000010245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1177287.64</v>
      </c>
      <c r="D45" s="29">
        <f>D41+D43</f>
        <v>1142545.72</v>
      </c>
      <c r="E45" s="29">
        <f>E41+E43</f>
        <v>-34741.919999999925</v>
      </c>
      <c r="F45" s="29">
        <f>F41+F43</f>
        <v>1272496</v>
      </c>
      <c r="G45" s="29">
        <f>G41+G43</f>
        <v>-95208.3600000001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-77632.91999999993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-42891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-34741.919999999925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-95208.3600000001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-95208.3600000001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33291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33291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-59596.4900000001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-77632.91999999993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-53513.2700000001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-214835.36-219997.17</f>
        <v>-434832.53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1:3" s="11" customFormat="1" ht="12.75">
      <c r="A84" s="37"/>
      <c r="C84" s="21" t="s">
        <v>20</v>
      </c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2:6" ht="15">
      <c r="B86" s="17"/>
      <c r="C86" s="16"/>
      <c r="D86" s="16"/>
      <c r="E86" s="16"/>
      <c r="F86" s="16"/>
    </row>
    <row r="87" spans="2:6" ht="14.25">
      <c r="B87" s="16"/>
      <c r="C87" s="16"/>
      <c r="D87" s="16"/>
      <c r="E87" s="16"/>
      <c r="F87" s="16"/>
    </row>
    <row r="88" spans="2:6" ht="14.25">
      <c r="B88" s="16"/>
      <c r="C88" s="16"/>
      <c r="D88" s="16"/>
      <c r="E88" s="16"/>
      <c r="F88" s="16"/>
    </row>
    <row r="89" spans="2:6" ht="14.25">
      <c r="B89" s="16"/>
      <c r="C89" s="16"/>
      <c r="D89" s="16"/>
      <c r="E89" s="16"/>
      <c r="F89" s="16"/>
    </row>
    <row r="90" spans="2:6" ht="14.25">
      <c r="B90" s="16"/>
      <c r="C90" s="16"/>
      <c r="D90" s="16"/>
      <c r="E90" s="16"/>
      <c r="F90" s="16"/>
    </row>
    <row r="91" spans="2:6" ht="14.25">
      <c r="B91" s="16"/>
      <c r="C91" s="16"/>
      <c r="D91" s="16"/>
      <c r="E91" s="16"/>
      <c r="F91" s="16"/>
    </row>
    <row r="92" spans="2:6" ht="14.25">
      <c r="B92" s="16"/>
      <c r="C92" s="16"/>
      <c r="D92" s="16"/>
      <c r="E92" s="16"/>
      <c r="F92" s="16"/>
    </row>
    <row r="93" spans="2:6" ht="14.25">
      <c r="B93" s="16"/>
      <c r="C93" s="16"/>
      <c r="D93" s="16"/>
      <c r="E93" s="16"/>
      <c r="F93" s="16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46">
      <selection activeCell="J58" sqref="J58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15"/>
      <c r="D1" s="15"/>
      <c r="E1" s="15"/>
      <c r="F1" s="15"/>
    </row>
    <row r="2" spans="1:6" ht="18.75">
      <c r="A2" s="42"/>
      <c r="B2" s="15"/>
      <c r="D2" s="2" t="s">
        <v>111</v>
      </c>
      <c r="E2" s="15"/>
      <c r="F2" s="15"/>
    </row>
    <row r="3" spans="2:6" ht="18.75">
      <c r="B3" s="15"/>
      <c r="D3" s="3" t="s">
        <v>45</v>
      </c>
      <c r="E3" s="15"/>
      <c r="F3" s="15"/>
    </row>
    <row r="4" spans="2:6" ht="9.75" customHeight="1">
      <c r="B4" s="12"/>
      <c r="C4" s="14"/>
      <c r="D4" s="14"/>
      <c r="E4" s="14"/>
      <c r="F4" s="14"/>
    </row>
    <row r="5" spans="2:6" ht="12" customHeight="1">
      <c r="B5" s="12"/>
      <c r="C5" s="14"/>
      <c r="D5" s="14"/>
      <c r="E5" s="14"/>
      <c r="F5" s="14"/>
    </row>
    <row r="6" spans="2:6" ht="15.75">
      <c r="B6" s="46" t="s">
        <v>54</v>
      </c>
      <c r="C6" s="14"/>
      <c r="D6" s="47">
        <v>-51886.36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'[36]Sheet1'!$N$15</f>
        <v>122583</v>
      </c>
      <c r="D15" s="50">
        <f>'[36]Sheet1'!$R$15</f>
        <v>114297</v>
      </c>
      <c r="E15" s="50">
        <f>D15-C15</f>
        <v>-8286</v>
      </c>
      <c r="F15" s="50">
        <f>'[36]Sheet1'!$T$15</f>
        <v>122583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122583</v>
      </c>
      <c r="D18" s="26">
        <f>D15</f>
        <v>114297</v>
      </c>
      <c r="E18" s="26">
        <f>E15</f>
        <v>-8286</v>
      </c>
      <c r="F18" s="26">
        <f>F15</f>
        <v>122583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'[36]Sheet1'!$N$18</f>
        <v>44888</v>
      </c>
      <c r="D21" s="25">
        <f>'[36]Sheet1'!$R$18</f>
        <v>41854</v>
      </c>
      <c r="E21" s="25">
        <f>D21-C21</f>
        <v>-3034</v>
      </c>
      <c r="F21" s="25">
        <f>'[36]Sheet1'!$T$18</f>
        <v>44888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'[36]Sheet1'!$N$19</f>
        <v>4141</v>
      </c>
      <c r="D22" s="25">
        <f>'[36]Sheet1'!$R$19</f>
        <v>3861</v>
      </c>
      <c r="E22" s="25">
        <f>D22-C22</f>
        <v>-280</v>
      </c>
      <c r="F22" s="25">
        <f>'[36]Sheet1'!$T$19</f>
        <v>4141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'[36]Sheet1'!$N$20</f>
        <v>9222</v>
      </c>
      <c r="D23" s="25">
        <f>'[36]Sheet1'!$R$20</f>
        <v>8598</v>
      </c>
      <c r="E23" s="25">
        <f>D23-C23</f>
        <v>-624</v>
      </c>
      <c r="F23" s="25">
        <f>'[36]Sheet1'!$T$20</f>
        <v>9222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'[36]Sheet1'!$K$22</f>
        <v>14414</v>
      </c>
      <c r="D24" s="25">
        <f>'[36]Sheet1'!$R$22</f>
        <v>13440</v>
      </c>
      <c r="E24" s="25">
        <f>D24-C24</f>
        <v>-974</v>
      </c>
      <c r="F24" s="25">
        <f>'[36]Sheet1'!$T$22</f>
        <v>21017</v>
      </c>
      <c r="G24" s="25">
        <f>C24-F24</f>
        <v>-6603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'[36]Sheet1'!$N$26</f>
        <v>82297</v>
      </c>
      <c r="D27" s="25">
        <f>'[36]Sheet1'!$R$26</f>
        <v>76734</v>
      </c>
      <c r="E27" s="25">
        <f>D27-C27</f>
        <v>-5563</v>
      </c>
      <c r="F27" s="25">
        <f>'[36]Sheet1'!$T$26</f>
        <v>82297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'[36]Sheet1'!$N$41+'[36]Sheet1'!$N$42</f>
        <v>13780</v>
      </c>
      <c r="D28" s="25">
        <f>'[36]Sheet1'!$R$41+'[36]Sheet1'!$R$42</f>
        <v>12848</v>
      </c>
      <c r="E28" s="25">
        <f>D28-C28</f>
        <v>-932</v>
      </c>
      <c r="F28" s="25">
        <f>'[36]Sheet1'!$T$41+'[36]Sheet1'!$T$42</f>
        <v>13780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168742</v>
      </c>
      <c r="D29" s="26">
        <f>SUM(D20:D28)</f>
        <v>157335</v>
      </c>
      <c r="E29" s="26">
        <f>SUM(E20:E28)</f>
        <v>-11407</v>
      </c>
      <c r="F29" s="26">
        <f>SUM(F20:F28)</f>
        <v>175345</v>
      </c>
      <c r="G29" s="26">
        <f>SUM(G20:G28)</f>
        <v>-6603</v>
      </c>
      <c r="H29" s="62"/>
      <c r="I29" s="62"/>
    </row>
    <row r="30" spans="2:9" ht="13.5" thickBot="1">
      <c r="B30" s="7" t="s">
        <v>15</v>
      </c>
      <c r="C30" s="26">
        <f>C18+C29</f>
        <v>291325</v>
      </c>
      <c r="D30" s="26">
        <f>D18+D29</f>
        <v>271632</v>
      </c>
      <c r="E30" s="26">
        <f>E18+E29</f>
        <v>-19693</v>
      </c>
      <c r="F30" s="26">
        <f>F18+F29</f>
        <v>297928</v>
      </c>
      <c r="G30" s="26">
        <f>G18+G29</f>
        <v>-6603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'[36]Sheet1'!$N$12</f>
        <v>215685</v>
      </c>
      <c r="D35" s="28">
        <f>'[36]Sheet1'!$R$12</f>
        <v>201104</v>
      </c>
      <c r="E35" s="28">
        <f>D35-C35</f>
        <v>-14581</v>
      </c>
      <c r="F35" s="28">
        <f>'[36]Sheet1'!$U$12</f>
        <v>34308</v>
      </c>
      <c r="G35" s="28">
        <f>C35-F35</f>
        <v>181377</v>
      </c>
      <c r="H35" s="65"/>
      <c r="I35" s="62"/>
    </row>
    <row r="36" spans="2:9" ht="13.5" thickBot="1">
      <c r="B36" s="6" t="s">
        <v>18</v>
      </c>
      <c r="C36" s="29">
        <f>C35</f>
        <v>215685</v>
      </c>
      <c r="D36" s="29">
        <f>D35</f>
        <v>201104</v>
      </c>
      <c r="E36" s="29">
        <f>E35</f>
        <v>-14581</v>
      </c>
      <c r="F36" s="29">
        <f>F35</f>
        <v>34308</v>
      </c>
      <c r="G36" s="29">
        <f>G35</f>
        <v>181377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'[36]Sheet1'!$N$33</f>
        <v>254468</v>
      </c>
      <c r="D41" s="50">
        <f>'[36]Sheet1'!$R$33</f>
        <v>237265</v>
      </c>
      <c r="E41" s="50">
        <f>D41-C41</f>
        <v>-17203</v>
      </c>
      <c r="F41" s="50">
        <f>'[36]Sheet1'!$T$33</f>
        <v>365869</v>
      </c>
      <c r="G41" s="50">
        <f>C41-F41</f>
        <v>-111401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945693.57-89355.48</f>
        <v>856338.09</v>
      </c>
      <c r="D43" s="50">
        <v>825611.59</v>
      </c>
      <c r="E43" s="50">
        <f>D43-C43</f>
        <v>-30726.5</v>
      </c>
      <c r="F43" s="50">
        <f>'[36]Sheet1'!$T$36</f>
        <v>919873</v>
      </c>
      <c r="G43" s="50">
        <f>C43-F43</f>
        <v>-63534.91000000003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1110806.0899999999</v>
      </c>
      <c r="D45" s="29">
        <f>D41+D43</f>
        <v>1062876.5899999999</v>
      </c>
      <c r="E45" s="29">
        <f>E41+E43</f>
        <v>-47929.5</v>
      </c>
      <c r="F45" s="29">
        <f>F41+F43</f>
        <v>1285742</v>
      </c>
      <c r="G45" s="29">
        <f>G41+G43</f>
        <v>-174935.91000000003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-82203.5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-34274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-47929.5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-174935.91000000003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-174935.91000000003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174774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174774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2158.9599999999673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-82203.5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-49727.40000000003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-234366.28-111314.73</f>
        <v>-345681.01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1:3" s="11" customFormat="1" ht="12.75">
      <c r="A84" s="37"/>
      <c r="C84" s="21" t="s">
        <v>20</v>
      </c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2:6" ht="15">
      <c r="B86" s="17"/>
      <c r="C86" s="16"/>
      <c r="D86" s="16"/>
      <c r="E86" s="16"/>
      <c r="F86" s="16"/>
    </row>
    <row r="87" spans="2:6" ht="14.25">
      <c r="B87" s="16"/>
      <c r="C87" s="16"/>
      <c r="D87" s="16"/>
      <c r="E87" s="16"/>
      <c r="F87" s="16"/>
    </row>
    <row r="88" spans="2:6" ht="14.25">
      <c r="B88" s="16"/>
      <c r="C88" s="16"/>
      <c r="D88" s="16"/>
      <c r="E88" s="16"/>
      <c r="F88" s="16"/>
    </row>
    <row r="89" spans="2:6" ht="14.25">
      <c r="B89" s="16"/>
      <c r="C89" s="16"/>
      <c r="D89" s="16"/>
      <c r="E89" s="16"/>
      <c r="F89" s="16"/>
    </row>
    <row r="90" spans="2:6" ht="14.25">
      <c r="B90" s="16"/>
      <c r="C90" s="16"/>
      <c r="D90" s="16"/>
      <c r="E90" s="16"/>
      <c r="F90" s="16"/>
    </row>
    <row r="91" spans="2:6" ht="14.25">
      <c r="B91" s="16"/>
      <c r="C91" s="16"/>
      <c r="D91" s="16"/>
      <c r="E91" s="16"/>
      <c r="F91" s="16"/>
    </row>
    <row r="92" spans="2:6" ht="14.25">
      <c r="B92" s="16"/>
      <c r="C92" s="16"/>
      <c r="D92" s="16"/>
      <c r="E92" s="16"/>
      <c r="F92" s="16"/>
    </row>
    <row r="93" spans="2:6" ht="14.25">
      <c r="B93" s="16"/>
      <c r="C93" s="16"/>
      <c r="D93" s="16"/>
      <c r="E93" s="16"/>
      <c r="F93" s="16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36">
      <selection activeCell="D45" sqref="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15"/>
      <c r="D1" s="15"/>
      <c r="E1" s="15"/>
      <c r="F1" s="15"/>
    </row>
    <row r="2" spans="1:6" ht="18.75">
      <c r="A2" s="42"/>
      <c r="B2" s="15"/>
      <c r="D2" s="2" t="s">
        <v>112</v>
      </c>
      <c r="E2" s="15"/>
      <c r="F2" s="15"/>
    </row>
    <row r="3" spans="2:6" ht="18.75">
      <c r="B3" s="15"/>
      <c r="D3" s="3" t="s">
        <v>45</v>
      </c>
      <c r="E3" s="15"/>
      <c r="F3" s="15"/>
    </row>
    <row r="4" spans="2:6" ht="9.75" customHeight="1">
      <c r="B4" s="12"/>
      <c r="C4" s="14"/>
      <c r="D4" s="14"/>
      <c r="E4" s="14"/>
      <c r="F4" s="14"/>
    </row>
    <row r="5" spans="2:6" ht="12" customHeight="1">
      <c r="B5" s="12"/>
      <c r="C5" s="14"/>
      <c r="D5" s="14"/>
      <c r="E5" s="14"/>
      <c r="F5" s="14"/>
    </row>
    <row r="6" spans="2:6" ht="15.75">
      <c r="B6" s="46" t="s">
        <v>54</v>
      </c>
      <c r="C6" s="14"/>
      <c r="D6" s="47">
        <v>-301178.72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'[37]Sheet1'!$N$15</f>
        <v>263683</v>
      </c>
      <c r="D15" s="50">
        <f>'[37]Sheet1'!$R$15</f>
        <v>256272</v>
      </c>
      <c r="E15" s="50">
        <f>D15-C15</f>
        <v>-7411</v>
      </c>
      <c r="F15" s="50">
        <f>'[37]Sheet1'!$T$15</f>
        <v>263683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263683</v>
      </c>
      <c r="D18" s="26">
        <f>D15</f>
        <v>256272</v>
      </c>
      <c r="E18" s="26">
        <f>E15</f>
        <v>-7411</v>
      </c>
      <c r="F18" s="26">
        <f>F15</f>
        <v>263683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'[37]Sheet1'!$N$18</f>
        <v>94667</v>
      </c>
      <c r="D21" s="25">
        <f>'[37]Sheet1'!$R$18</f>
        <v>92007</v>
      </c>
      <c r="E21" s="25">
        <f>D21-C21</f>
        <v>-2660</v>
      </c>
      <c r="F21" s="25">
        <f>'[37]Sheet1'!$T$18</f>
        <v>94667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'[37]Sheet1'!$N$19</f>
        <v>8698</v>
      </c>
      <c r="D22" s="25">
        <f>'[37]Sheet1'!$R$19</f>
        <v>8454</v>
      </c>
      <c r="E22" s="25">
        <f>D22-C22</f>
        <v>-244</v>
      </c>
      <c r="F22" s="25">
        <f>'[37]Sheet1'!$T$19</f>
        <v>8698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'[37]Sheet1'!$N$20</f>
        <v>19787</v>
      </c>
      <c r="D23" s="25">
        <f>'[37]Sheet1'!$R$20</f>
        <v>19231</v>
      </c>
      <c r="E23" s="25">
        <f>D23-C23</f>
        <v>-556</v>
      </c>
      <c r="F23" s="25">
        <f>'[37]Sheet1'!$T$20</f>
        <v>19787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'[37]Sheet1'!$K$22</f>
        <v>30342</v>
      </c>
      <c r="D24" s="25">
        <f>'[37]Sheet1'!$R$22</f>
        <v>29490</v>
      </c>
      <c r="E24" s="25">
        <f>D24-C24</f>
        <v>-852</v>
      </c>
      <c r="F24" s="25">
        <f>'[37]Sheet1'!$T$22</f>
        <v>30544</v>
      </c>
      <c r="G24" s="25">
        <f>C24-F24</f>
        <v>-202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'[37]Sheet1'!$N$26</f>
        <v>176099</v>
      </c>
      <c r="D27" s="25">
        <f>'[37]Sheet1'!$R$26</f>
        <v>171150</v>
      </c>
      <c r="E27" s="25">
        <f>D27-C27</f>
        <v>-4949</v>
      </c>
      <c r="F27" s="25">
        <f>'[37]Sheet1'!$T$26</f>
        <v>176099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'[37]Sheet1'!$N$41+'[37]Sheet1'!$N$42</f>
        <v>28904</v>
      </c>
      <c r="D28" s="25">
        <f>'[37]Sheet1'!$R$41+'[37]Sheet1'!$R$42</f>
        <v>28091</v>
      </c>
      <c r="E28" s="25">
        <f>D28-C28</f>
        <v>-813</v>
      </c>
      <c r="F28" s="25">
        <f>'[37]Sheet1'!$T$41+'[37]Sheet1'!$T$42</f>
        <v>28904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358497</v>
      </c>
      <c r="D29" s="26">
        <f>SUM(D20:D28)</f>
        <v>348423</v>
      </c>
      <c r="E29" s="26">
        <f>SUM(E20:E28)</f>
        <v>-10074</v>
      </c>
      <c r="F29" s="26">
        <f>SUM(F20:F28)</f>
        <v>358699</v>
      </c>
      <c r="G29" s="26">
        <f>SUM(G20:G28)</f>
        <v>-202</v>
      </c>
      <c r="H29" s="62"/>
      <c r="I29" s="62"/>
    </row>
    <row r="30" spans="2:9" ht="13.5" thickBot="1">
      <c r="B30" s="7" t="s">
        <v>15</v>
      </c>
      <c r="C30" s="26">
        <f>C18+C29</f>
        <v>622180</v>
      </c>
      <c r="D30" s="26">
        <f>D18+D29</f>
        <v>604695</v>
      </c>
      <c r="E30" s="26">
        <f>E18+E29</f>
        <v>-17485</v>
      </c>
      <c r="F30" s="26">
        <f>F18+F29</f>
        <v>622382</v>
      </c>
      <c r="G30" s="26">
        <f>G18+G29</f>
        <v>-202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'[37]Sheet1'!$N$12</f>
        <v>436815</v>
      </c>
      <c r="D35" s="28">
        <f>'[37]Sheet1'!$R$12</f>
        <v>424537</v>
      </c>
      <c r="E35" s="28">
        <f>D35-C35</f>
        <v>-12278</v>
      </c>
      <c r="F35" s="28">
        <f>'[37]Sheet1'!$U$12-112146</f>
        <v>76134</v>
      </c>
      <c r="G35" s="28">
        <f>C35-F35</f>
        <v>360681</v>
      </c>
      <c r="H35" s="65"/>
      <c r="I35" s="62"/>
    </row>
    <row r="36" spans="2:9" ht="13.5" thickBot="1">
      <c r="B36" s="6" t="s">
        <v>18</v>
      </c>
      <c r="C36" s="29">
        <f>C35</f>
        <v>436815</v>
      </c>
      <c r="D36" s="29">
        <f>D35</f>
        <v>424537</v>
      </c>
      <c r="E36" s="29">
        <f>E35</f>
        <v>-12278</v>
      </c>
      <c r="F36" s="29">
        <f>F35</f>
        <v>76134</v>
      </c>
      <c r="G36" s="29">
        <f>G35</f>
        <v>360681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'[37]Sheet1'!$N$33</f>
        <v>595371</v>
      </c>
      <c r="D41" s="50">
        <f>'[37]Sheet1'!$R$33</f>
        <v>578638</v>
      </c>
      <c r="E41" s="50">
        <f>D41-C41</f>
        <v>-16733</v>
      </c>
      <c r="F41" s="50">
        <f>'[37]Sheet1'!$T$33</f>
        <v>980600</v>
      </c>
      <c r="G41" s="50">
        <f>C41-F41</f>
        <v>-385229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2132982-293583.4</f>
        <v>1839398.6</v>
      </c>
      <c r="D43" s="50">
        <v>1915296.5</v>
      </c>
      <c r="E43" s="50">
        <f>D43-C43</f>
        <v>75897.8999999999</v>
      </c>
      <c r="F43" s="50">
        <f>'[37]Sheet1'!$T$36</f>
        <v>1916018</v>
      </c>
      <c r="G43" s="50">
        <f>C43-F43</f>
        <v>-76619.3999999999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2434769.6</v>
      </c>
      <c r="D45" s="29">
        <f>D41+D43</f>
        <v>2493934.5</v>
      </c>
      <c r="E45" s="29">
        <f>E41+E43</f>
        <v>59164.89999999991</v>
      </c>
      <c r="F45" s="29">
        <f>F41+F43</f>
        <v>2896618</v>
      </c>
      <c r="G45" s="29">
        <f>G41+G43</f>
        <v>-461848.3999999999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29401.899999999907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-29763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59164.89999999991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-461848.3999999999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-461848.3999999999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360479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360479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-99048.52999999991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29401.899999999907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-400227.2499999999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-639811.61-214282.43</f>
        <v>-854094.04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1:3" s="11" customFormat="1" ht="12.75">
      <c r="A84" s="37"/>
      <c r="C84" s="21" t="s">
        <v>20</v>
      </c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2:6" ht="15">
      <c r="B86" s="17"/>
      <c r="C86" s="16"/>
      <c r="D86" s="16"/>
      <c r="E86" s="16"/>
      <c r="F86" s="16"/>
    </row>
    <row r="87" spans="2:6" ht="14.25">
      <c r="B87" s="16"/>
      <c r="C87" s="16"/>
      <c r="D87" s="16"/>
      <c r="E87" s="16"/>
      <c r="F87" s="16"/>
    </row>
    <row r="88" spans="2:6" ht="14.25">
      <c r="B88" s="16"/>
      <c r="C88" s="16"/>
      <c r="D88" s="16"/>
      <c r="E88" s="16"/>
      <c r="F88" s="16"/>
    </row>
    <row r="89" spans="2:6" ht="14.25">
      <c r="B89" s="16"/>
      <c r="C89" s="16"/>
      <c r="D89" s="16"/>
      <c r="E89" s="16"/>
      <c r="F89" s="16"/>
    </row>
    <row r="90" spans="2:6" ht="14.25">
      <c r="B90" s="16"/>
      <c r="C90" s="16"/>
      <c r="D90" s="16"/>
      <c r="E90" s="16"/>
      <c r="F90" s="16"/>
    </row>
    <row r="91" spans="2:6" ht="14.25">
      <c r="B91" s="16"/>
      <c r="C91" s="16"/>
      <c r="D91" s="16"/>
      <c r="E91" s="16"/>
      <c r="F91" s="16"/>
    </row>
    <row r="92" spans="2:6" ht="14.25">
      <c r="B92" s="16"/>
      <c r="C92" s="16"/>
      <c r="D92" s="16"/>
      <c r="E92" s="16"/>
      <c r="F92" s="16"/>
    </row>
    <row r="93" spans="2:6" ht="14.25">
      <c r="B93" s="16"/>
      <c r="C93" s="16"/>
      <c r="D93" s="16"/>
      <c r="E93" s="16"/>
      <c r="F93" s="16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37">
      <selection activeCell="F43" sqref="F43:F44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113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-105565.3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'[38]Sheet1'!$N$15</f>
        <v>104522</v>
      </c>
      <c r="D15" s="50">
        <f>'[38]Sheet1'!$R$15</f>
        <v>101305</v>
      </c>
      <c r="E15" s="50">
        <f>D15-C15</f>
        <v>-3217</v>
      </c>
      <c r="F15" s="50">
        <f>'[38]Sheet1'!$T$15</f>
        <v>104522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104522</v>
      </c>
      <c r="D18" s="26">
        <f>D15</f>
        <v>101305</v>
      </c>
      <c r="E18" s="26">
        <f>E15</f>
        <v>-3217</v>
      </c>
      <c r="F18" s="26">
        <f>F15</f>
        <v>104522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'[38]Sheet1'!$N$18</f>
        <v>44116</v>
      </c>
      <c r="D21" s="25">
        <f>'[38]Sheet1'!$R$18</f>
        <v>42758</v>
      </c>
      <c r="E21" s="25">
        <f>D21-C21</f>
        <v>-1358</v>
      </c>
      <c r="F21" s="25">
        <f>'[38]Sheet1'!$T$18</f>
        <v>44116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'[38]Sheet1'!$N$19</f>
        <v>4071</v>
      </c>
      <c r="D22" s="25">
        <f>'[38]Sheet1'!$R$19</f>
        <v>3946</v>
      </c>
      <c r="E22" s="25">
        <f>D22-C22</f>
        <v>-125</v>
      </c>
      <c r="F22" s="25">
        <f>'[38]Sheet1'!$T$19</f>
        <v>4071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'[38]Sheet1'!$N$20</f>
        <v>9153</v>
      </c>
      <c r="D23" s="25">
        <f>'[38]Sheet1'!$R$20</f>
        <v>8871</v>
      </c>
      <c r="E23" s="25">
        <f>D23-C23</f>
        <v>-282</v>
      </c>
      <c r="F23" s="25">
        <f>'[38]Sheet1'!$T$20</f>
        <v>9153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'[38]Sheet1'!$K$22</f>
        <v>14591</v>
      </c>
      <c r="D24" s="25">
        <f>'[38]Sheet1'!$R$22</f>
        <v>14142</v>
      </c>
      <c r="E24" s="25">
        <f>D24-C24</f>
        <v>-449</v>
      </c>
      <c r="F24" s="25">
        <f>'[38]Sheet1'!$T$22</f>
        <v>22439</v>
      </c>
      <c r="G24" s="25">
        <f>C24-F24</f>
        <v>-7848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'[38]Sheet1'!$N$26</f>
        <v>81526</v>
      </c>
      <c r="D27" s="25">
        <f>'[38]Sheet1'!$R$26</f>
        <v>79017</v>
      </c>
      <c r="E27" s="25">
        <f>D27-C27</f>
        <v>-2509</v>
      </c>
      <c r="F27" s="25">
        <f>'[38]Sheet1'!$T$26</f>
        <v>81526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'[38]Sheet1'!$N$41+'[38]Sheet1'!$N$42</f>
        <v>13499</v>
      </c>
      <c r="D28" s="25">
        <f>'[38]Sheet1'!$R$41+'[38]Sheet1'!$R$42</f>
        <v>13083</v>
      </c>
      <c r="E28" s="25">
        <f>D28-C28</f>
        <v>-416</v>
      </c>
      <c r="F28" s="25">
        <f>'[38]Sheet1'!$T$41+'[38]Sheet1'!$T$42</f>
        <v>13499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166956</v>
      </c>
      <c r="D29" s="26">
        <f>SUM(D20:D28)</f>
        <v>161817</v>
      </c>
      <c r="E29" s="26">
        <f>SUM(E20:E28)</f>
        <v>-5139</v>
      </c>
      <c r="F29" s="26">
        <f>SUM(F20:F28)</f>
        <v>174804</v>
      </c>
      <c r="G29" s="26">
        <f>SUM(G20:G28)</f>
        <v>-7848</v>
      </c>
      <c r="H29" s="62"/>
      <c r="I29" s="62"/>
    </row>
    <row r="30" spans="2:9" ht="13.5" thickBot="1">
      <c r="B30" s="7" t="s">
        <v>15</v>
      </c>
      <c r="C30" s="26">
        <f>C18+C29</f>
        <v>271478</v>
      </c>
      <c r="D30" s="26">
        <f>D18+D29</f>
        <v>263122</v>
      </c>
      <c r="E30" s="26">
        <f>E18+E29</f>
        <v>-8356</v>
      </c>
      <c r="F30" s="26">
        <f>F18+F29</f>
        <v>279326</v>
      </c>
      <c r="G30" s="26">
        <f>G18+G29</f>
        <v>-7848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'[38]Sheet1'!$N$12</f>
        <v>206115</v>
      </c>
      <c r="D35" s="28">
        <f>'[38]Sheet1'!$R$12</f>
        <v>199772</v>
      </c>
      <c r="E35" s="28">
        <f>D35-C35</f>
        <v>-6343</v>
      </c>
      <c r="F35" s="28">
        <f>'[38]Sheet1'!$U$12</f>
        <v>42355</v>
      </c>
      <c r="G35" s="28">
        <f>C35-F35</f>
        <v>163760</v>
      </c>
      <c r="H35" s="65"/>
      <c r="I35" s="62"/>
    </row>
    <row r="36" spans="2:9" ht="13.5" thickBot="1">
      <c r="B36" s="6" t="s">
        <v>18</v>
      </c>
      <c r="C36" s="29">
        <f>C35</f>
        <v>206115</v>
      </c>
      <c r="D36" s="29">
        <f>D35</f>
        <v>199772</v>
      </c>
      <c r="E36" s="29">
        <f>E35</f>
        <v>-6343</v>
      </c>
      <c r="F36" s="29">
        <f>F35</f>
        <v>42355</v>
      </c>
      <c r="G36" s="29">
        <f>G35</f>
        <v>163760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'[38]Sheet1'!$N$33</f>
        <v>289171</v>
      </c>
      <c r="D41" s="50">
        <f>'[38]Sheet1'!$R$33</f>
        <v>280271</v>
      </c>
      <c r="E41" s="50">
        <f>D41-C41</f>
        <v>-8900</v>
      </c>
      <c r="F41" s="50">
        <f>'[38]Sheet1'!$T$33</f>
        <v>331982</v>
      </c>
      <c r="G41" s="50">
        <f>C41-F41</f>
        <v>-42811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1034053.69-85358.99</f>
        <v>948694.7</v>
      </c>
      <c r="D43" s="50">
        <v>909405.27</v>
      </c>
      <c r="E43" s="50">
        <f>D43-C43</f>
        <v>-39289.429999999935</v>
      </c>
      <c r="F43" s="50">
        <f>'[38]Sheet1'!$T$36</f>
        <v>1120148</v>
      </c>
      <c r="G43" s="50">
        <f>C43-F43</f>
        <v>-171453.30000000005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1237865.7</v>
      </c>
      <c r="D45" s="29">
        <f>D41+D43</f>
        <v>1189676.27</v>
      </c>
      <c r="E45" s="29">
        <f>E41+E43</f>
        <v>-48189.429999999935</v>
      </c>
      <c r="F45" s="29">
        <f>F41+F43</f>
        <v>1452130</v>
      </c>
      <c r="G45" s="29">
        <f>G41+G43</f>
        <v>-214264.30000000005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-62888.429999999935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-14699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-48189.429999999935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-214264.30000000005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-214264.30000000005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155912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155912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-56031.430000000044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-62888.429999999935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-161596.73000000004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-364934.01-108578.53</f>
        <v>-473512.54000000004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61">
      <selection activeCell="F45" sqref="F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114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325903.2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'[39]Sheet1'!$N$15</f>
        <v>218091</v>
      </c>
      <c r="D15" s="50">
        <f>'[39]Sheet1'!$R$15</f>
        <v>202154</v>
      </c>
      <c r="E15" s="50">
        <f>D15-C15</f>
        <v>-15937</v>
      </c>
      <c r="F15" s="50">
        <f>'[39]Sheet1'!$T$15</f>
        <v>218091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218091</v>
      </c>
      <c r="D18" s="26">
        <f>D15</f>
        <v>202154</v>
      </c>
      <c r="E18" s="26">
        <f>E15</f>
        <v>-15937</v>
      </c>
      <c r="F18" s="26">
        <f>F15</f>
        <v>218091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'[39]Sheet1'!$N$18</f>
        <v>93666</v>
      </c>
      <c r="D21" s="25">
        <f>'[39]Sheet1'!$R$18</f>
        <v>86822</v>
      </c>
      <c r="E21" s="25">
        <f>D21-C21</f>
        <v>-6844</v>
      </c>
      <c r="F21" s="25">
        <f>'[39]Sheet1'!$T$18</f>
        <v>93666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'[39]Sheet1'!$N$19</f>
        <v>8635</v>
      </c>
      <c r="D22" s="25">
        <f>'[39]Sheet1'!$R$19</f>
        <v>8004</v>
      </c>
      <c r="E22" s="25">
        <f>D22-C22</f>
        <v>-631</v>
      </c>
      <c r="F22" s="25">
        <f>'[39]Sheet1'!$T$19</f>
        <v>8635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'[39]Sheet1'!$N$20</f>
        <v>19402</v>
      </c>
      <c r="D23" s="25">
        <f>'[39]Sheet1'!$R$20</f>
        <v>17985</v>
      </c>
      <c r="E23" s="25">
        <f>D23-C23</f>
        <v>-1417</v>
      </c>
      <c r="F23" s="25">
        <f>'[39]Sheet1'!$T$20</f>
        <v>19402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'[39]Sheet1'!$K$22</f>
        <v>30382</v>
      </c>
      <c r="D24" s="25">
        <f>'[39]Sheet1'!$R$22</f>
        <v>28162</v>
      </c>
      <c r="E24" s="25">
        <f>D24-C24</f>
        <v>-2220</v>
      </c>
      <c r="F24" s="25">
        <f>'[39]Sheet1'!$T$22</f>
        <v>26051</v>
      </c>
      <c r="G24" s="25">
        <f>C24-F24</f>
        <v>4331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f>C26</f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'[39]Sheet1'!$N$26</f>
        <v>172892</v>
      </c>
      <c r="D27" s="25">
        <f>'[39]Sheet1'!$R$26</f>
        <v>160258</v>
      </c>
      <c r="E27" s="25">
        <f>D27-C27</f>
        <v>-12634</v>
      </c>
      <c r="F27" s="25">
        <f>'[39]Sheet1'!$T$26</f>
        <v>172892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'[39]Sheet1'!$N$41+'[39]Sheet1'!$N$42</f>
        <v>28679</v>
      </c>
      <c r="D28" s="25">
        <f>'[39]Sheet1'!$R$41+'[39]Sheet1'!$R$42</f>
        <v>26583</v>
      </c>
      <c r="E28" s="25">
        <f>D28-C28</f>
        <v>-2096</v>
      </c>
      <c r="F28" s="25">
        <f>'[39]Sheet1'!$T$41+'[39]Sheet1'!$T$42</f>
        <v>28679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353656</v>
      </c>
      <c r="D29" s="26">
        <f>SUM(D20:D28)</f>
        <v>327814</v>
      </c>
      <c r="E29" s="26">
        <f>SUM(E20:E28)</f>
        <v>-25842</v>
      </c>
      <c r="F29" s="26">
        <f>SUM(F20:F28)</f>
        <v>349325</v>
      </c>
      <c r="G29" s="26">
        <f>SUM(G20:G28)</f>
        <v>4331</v>
      </c>
      <c r="H29" s="62"/>
      <c r="I29" s="62"/>
    </row>
    <row r="30" spans="2:9" ht="13.5" thickBot="1">
      <c r="B30" s="7" t="s">
        <v>15</v>
      </c>
      <c r="C30" s="26">
        <f>C18+C29</f>
        <v>571747</v>
      </c>
      <c r="D30" s="26">
        <f>D18+D29</f>
        <v>529968</v>
      </c>
      <c r="E30" s="26">
        <f>E18+E29</f>
        <v>-41779</v>
      </c>
      <c r="F30" s="26">
        <f>F18+F29</f>
        <v>567416</v>
      </c>
      <c r="G30" s="26">
        <f>G18+G29</f>
        <v>4331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'[39]Sheet1'!$N$12</f>
        <v>445224</v>
      </c>
      <c r="D35" s="28">
        <f>'[39]Sheet1'!$R$12</f>
        <v>412690</v>
      </c>
      <c r="E35" s="28">
        <f>D35-C35</f>
        <v>-32534</v>
      </c>
      <c r="F35" s="28">
        <f>'[39]Sheet1'!$U$12</f>
        <v>116443</v>
      </c>
      <c r="G35" s="28">
        <f>C35-F35</f>
        <v>328781</v>
      </c>
      <c r="H35" s="65"/>
      <c r="I35" s="62"/>
    </row>
    <row r="36" spans="2:9" ht="13.5" thickBot="1">
      <c r="B36" s="6" t="s">
        <v>18</v>
      </c>
      <c r="C36" s="29">
        <f>C35</f>
        <v>445224</v>
      </c>
      <c r="D36" s="29">
        <f>D35</f>
        <v>412690</v>
      </c>
      <c r="E36" s="29">
        <f>E35</f>
        <v>-32534</v>
      </c>
      <c r="F36" s="29">
        <f>F35</f>
        <v>116443</v>
      </c>
      <c r="G36" s="29">
        <f>G35</f>
        <v>328781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46</v>
      </c>
      <c r="C41" s="50">
        <f>'[39]Sheet1'!$N$33</f>
        <v>517740</v>
      </c>
      <c r="D41" s="50">
        <f>'[39]Sheet1'!$R$33</f>
        <v>479907</v>
      </c>
      <c r="E41" s="50">
        <f>D41-C41</f>
        <v>-37833</v>
      </c>
      <c r="F41" s="50">
        <f>'[39]Sheet1'!$T$33</f>
        <v>599961</v>
      </c>
      <c r="G41" s="50">
        <f>C41-F41</f>
        <v>-82221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2103551.84-216928.67</f>
        <v>1886623.17</v>
      </c>
      <c r="D43" s="50">
        <v>1854730.8</v>
      </c>
      <c r="E43" s="50">
        <f>D43-C43</f>
        <v>-31892.36999999988</v>
      </c>
      <c r="F43" s="50">
        <f>C43</f>
        <v>1886623.17</v>
      </c>
      <c r="G43" s="50">
        <f>C43-F43</f>
        <v>0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2404363.17</v>
      </c>
      <c r="D45" s="29">
        <f>D41+D43</f>
        <v>2334637.8</v>
      </c>
      <c r="E45" s="29">
        <f>E41+E43</f>
        <v>-69725.36999999988</v>
      </c>
      <c r="F45" s="29">
        <f>F41+F43</f>
        <v>2486584.17</v>
      </c>
      <c r="G45" s="29">
        <f>G41+G43</f>
        <v>-82221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-144038.36999999988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-74313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-69725.36999999988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-82221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-82221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333112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333112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253211.87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-144038.36999999988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579115.0700000001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-223610.63-598988.48</f>
        <v>-822599.11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31">
      <selection activeCell="F42" sqref="F42:F43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71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15.75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-165541.66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4.25">
      <c r="B9" s="24"/>
      <c r="C9" s="16"/>
      <c r="D9" s="16"/>
      <c r="E9" s="16"/>
      <c r="F9" s="16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'[4]Sheet1'!$N$15</f>
        <v>92193</v>
      </c>
      <c r="D14" s="50">
        <f>'[4]Sheet1'!$R$15</f>
        <v>90120</v>
      </c>
      <c r="E14" s="50">
        <f>D14-C14</f>
        <v>-2073</v>
      </c>
      <c r="F14" s="50">
        <f>'[4]Sheet1'!$T$15</f>
        <v>92193</v>
      </c>
      <c r="G14" s="71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70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69"/>
      <c r="H16" s="62"/>
      <c r="I16" s="62"/>
    </row>
    <row r="17" spans="2:9" ht="13.5" thickBot="1">
      <c r="B17" s="6" t="s">
        <v>7</v>
      </c>
      <c r="C17" s="26">
        <f>C14</f>
        <v>92193</v>
      </c>
      <c r="D17" s="26">
        <f>D14</f>
        <v>90120</v>
      </c>
      <c r="E17" s="26">
        <f>E14</f>
        <v>-2073</v>
      </c>
      <c r="F17" s="26">
        <f>F14</f>
        <v>92193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70</v>
      </c>
      <c r="C19" s="25">
        <f>'[4]Sheet1'!$N$17</f>
        <v>34638</v>
      </c>
      <c r="D19" s="25">
        <f>'[4]Sheet1'!$R$17</f>
        <v>33859</v>
      </c>
      <c r="E19" s="25">
        <f>D19-C19</f>
        <v>-779</v>
      </c>
      <c r="F19" s="25">
        <f>C19</f>
        <v>34638</v>
      </c>
      <c r="G19" s="25">
        <f>C19-F19</f>
        <v>0</v>
      </c>
      <c r="H19" s="62"/>
      <c r="I19" s="62"/>
    </row>
    <row r="20" spans="2:9" ht="27" customHeight="1" thickBot="1">
      <c r="B20" s="10" t="s">
        <v>9</v>
      </c>
      <c r="C20" s="25">
        <f>'[4]Sheet1'!$N$18</f>
        <v>37619</v>
      </c>
      <c r="D20" s="25">
        <f>'[4]Sheet1'!$R$18</f>
        <v>36773</v>
      </c>
      <c r="E20" s="25">
        <f>D20-C20</f>
        <v>-846</v>
      </c>
      <c r="F20" s="25">
        <f>'[4]Sheet1'!$T$18</f>
        <v>37619</v>
      </c>
      <c r="G20" s="25">
        <f>C20-F20</f>
        <v>0</v>
      </c>
      <c r="H20" s="62"/>
      <c r="I20" s="62"/>
    </row>
    <row r="21" spans="2:9" ht="19.5" customHeight="1" thickBot="1">
      <c r="B21" s="10" t="s">
        <v>10</v>
      </c>
      <c r="C21" s="25">
        <f>'[4]Sheet1'!$N$19</f>
        <v>2502</v>
      </c>
      <c r="D21" s="25">
        <f>'[4]Sheet1'!$R$19</f>
        <v>2445</v>
      </c>
      <c r="E21" s="25">
        <f>D21-C21</f>
        <v>-57</v>
      </c>
      <c r="F21" s="25">
        <f>'[4]Sheet1'!$T$19</f>
        <v>2502</v>
      </c>
      <c r="G21" s="25">
        <f>C21-F21</f>
        <v>0</v>
      </c>
      <c r="H21" s="62"/>
      <c r="I21" s="62"/>
    </row>
    <row r="22" spans="2:9" ht="21" customHeight="1" thickBot="1">
      <c r="B22" s="10" t="s">
        <v>11</v>
      </c>
      <c r="C22" s="25">
        <f>'[4]Sheet1'!$N$20</f>
        <v>11131</v>
      </c>
      <c r="D22" s="25">
        <f>'[4]Sheet1'!$R$20</f>
        <v>10881</v>
      </c>
      <c r="E22" s="25">
        <f>D22-C22</f>
        <v>-250</v>
      </c>
      <c r="F22" s="25">
        <f>'[4]Sheet1'!$T$20</f>
        <v>11131</v>
      </c>
      <c r="G22" s="25">
        <f>C22-F22</f>
        <v>0</v>
      </c>
      <c r="H22" s="62"/>
      <c r="I22" s="62"/>
    </row>
    <row r="23" spans="2:9" ht="25.5" customHeight="1" thickBot="1">
      <c r="B23" s="10" t="s">
        <v>12</v>
      </c>
      <c r="C23" s="25">
        <f>'[4]Sheet1'!$K$22+'[4]Sheet1'!$K$23</f>
        <v>46352</v>
      </c>
      <c r="D23" s="25">
        <f>'[4]Sheet1'!$R$22+'[4]Sheet1'!$R$23</f>
        <v>45310</v>
      </c>
      <c r="E23" s="25">
        <f>D23-C23</f>
        <v>-1042</v>
      </c>
      <c r="F23" s="25">
        <f>'[4]Sheet1'!$T$22+'[4]Sheet1'!$T$23</f>
        <v>83614</v>
      </c>
      <c r="G23" s="25">
        <f>C23-F23</f>
        <v>-37262</v>
      </c>
      <c r="H23" s="62"/>
      <c r="I23" s="62"/>
    </row>
    <row r="24" spans="2:9" ht="17.25" customHeight="1" thickBot="1">
      <c r="B24" s="10" t="s">
        <v>60</v>
      </c>
      <c r="C24" s="25">
        <f>'[4]Sheet1'!$N$25</f>
        <v>189061</v>
      </c>
      <c r="D24" s="25">
        <f>'[4]Sheet1'!$R$25</f>
        <v>184809</v>
      </c>
      <c r="E24" s="25">
        <f>D24-C24</f>
        <v>-4252</v>
      </c>
      <c r="F24" s="25">
        <f>C24</f>
        <v>189061</v>
      </c>
      <c r="G24" s="25">
        <f>C24-F24</f>
        <v>0</v>
      </c>
      <c r="H24" s="62"/>
      <c r="I24" s="62"/>
    </row>
    <row r="25" spans="2:9" ht="17.25" customHeight="1" thickBot="1">
      <c r="B25" s="10" t="s">
        <v>61</v>
      </c>
      <c r="C25" s="25">
        <f>'[4]Sheet1'!$N$24</f>
        <v>50994</v>
      </c>
      <c r="D25" s="25">
        <f>'[4]Sheet1'!$R$24</f>
        <v>49847</v>
      </c>
      <c r="E25" s="25">
        <f>D25-C25</f>
        <v>-1147</v>
      </c>
      <c r="F25" s="25">
        <f>C25</f>
        <v>50994</v>
      </c>
      <c r="G25" s="25">
        <f>C25-F25</f>
        <v>0</v>
      </c>
      <c r="H25" s="62"/>
      <c r="I25" s="62"/>
    </row>
    <row r="26" spans="2:9" ht="25.5" customHeight="1" thickBot="1">
      <c r="B26" s="10" t="s">
        <v>13</v>
      </c>
      <c r="C26" s="25">
        <f>'[4]Sheet1'!$N$26</f>
        <v>105725</v>
      </c>
      <c r="D26" s="25">
        <f>'[4]Sheet1'!$R$26</f>
        <v>103347</v>
      </c>
      <c r="E26" s="25">
        <f>D26-C26</f>
        <v>-2378</v>
      </c>
      <c r="F26" s="25">
        <f>'[4]Sheet1'!$T$26</f>
        <v>105725</v>
      </c>
      <c r="G26" s="25">
        <f>C26-F26</f>
        <v>0</v>
      </c>
      <c r="H26" s="62"/>
      <c r="I26" s="62"/>
    </row>
    <row r="27" spans="2:9" ht="25.5" customHeight="1" thickBot="1">
      <c r="B27" s="10" t="s">
        <v>14</v>
      </c>
      <c r="C27" s="25">
        <f>'[4]Sheet1'!$N$41+'[4]Sheet1'!$N$42</f>
        <v>11075</v>
      </c>
      <c r="D27" s="25">
        <f>'[4]Sheet1'!$R$41+'[4]Sheet1'!$R$42</f>
        <v>10826</v>
      </c>
      <c r="E27" s="25">
        <f>D27-C27</f>
        <v>-249</v>
      </c>
      <c r="F27" s="25">
        <f>'[4]Sheet1'!$T$41+'[4]Sheet1'!$T$42</f>
        <v>11075</v>
      </c>
      <c r="G27" s="25">
        <f>C27-F27</f>
        <v>0</v>
      </c>
      <c r="H27" s="62"/>
      <c r="I27" s="62"/>
    </row>
    <row r="28" spans="2:9" ht="13.5" thickBot="1">
      <c r="B28" s="6" t="s">
        <v>7</v>
      </c>
      <c r="C28" s="26">
        <f>SUM(C19:C27)</f>
        <v>489097</v>
      </c>
      <c r="D28" s="26">
        <f>SUM(D19:D27)</f>
        <v>478097</v>
      </c>
      <c r="E28" s="26">
        <f>SUM(E19:E27)</f>
        <v>-11000</v>
      </c>
      <c r="F28" s="26">
        <f>SUM(F19:F27)</f>
        <v>526359</v>
      </c>
      <c r="G28" s="26">
        <f>SUM(G19:G27)</f>
        <v>-37262</v>
      </c>
      <c r="H28" s="62"/>
      <c r="I28" s="62"/>
    </row>
    <row r="29" spans="2:9" ht="13.5" thickBot="1">
      <c r="B29" s="7" t="s">
        <v>15</v>
      </c>
      <c r="C29" s="26">
        <f>C17+C28</f>
        <v>581290</v>
      </c>
      <c r="D29" s="26">
        <f>D17+D28</f>
        <v>568217</v>
      </c>
      <c r="E29" s="26">
        <f>E17+E28</f>
        <v>-13073</v>
      </c>
      <c r="F29" s="26">
        <f>F17+F28</f>
        <v>618552</v>
      </c>
      <c r="G29" s="26">
        <f>G17+G28</f>
        <v>-37262</v>
      </c>
      <c r="H29" s="62"/>
      <c r="I29" s="62"/>
    </row>
    <row r="30" spans="2:9" ht="12.75">
      <c r="B30" s="11"/>
      <c r="C30" s="62"/>
      <c r="D30" s="62"/>
      <c r="E30" s="62"/>
      <c r="F30" s="62"/>
      <c r="G30" s="62"/>
      <c r="H30" s="62"/>
      <c r="I30" s="62"/>
    </row>
    <row r="31" spans="2:9" ht="13.5" thickBot="1">
      <c r="B31" s="18" t="s">
        <v>47</v>
      </c>
      <c r="C31" s="62"/>
      <c r="D31" s="62"/>
      <c r="E31" s="62"/>
      <c r="F31" s="62"/>
      <c r="G31" s="62"/>
      <c r="H31" s="62"/>
      <c r="I31" s="62"/>
    </row>
    <row r="32" spans="2:9" ht="105" customHeight="1" thickBot="1">
      <c r="B32" s="22" t="s">
        <v>3</v>
      </c>
      <c r="C32" s="22" t="s">
        <v>28</v>
      </c>
      <c r="D32" s="23" t="s">
        <v>23</v>
      </c>
      <c r="E32" s="23" t="s">
        <v>31</v>
      </c>
      <c r="F32" s="22" t="s">
        <v>16</v>
      </c>
      <c r="G32" s="22" t="s">
        <v>29</v>
      </c>
      <c r="H32" s="62"/>
      <c r="I32" s="62"/>
    </row>
    <row r="33" spans="2:9" ht="13.5" customHeight="1" thickBot="1">
      <c r="B33" s="43">
        <v>1</v>
      </c>
      <c r="C33" s="44">
        <v>2</v>
      </c>
      <c r="D33" s="44">
        <v>3</v>
      </c>
      <c r="E33" s="44" t="s">
        <v>42</v>
      </c>
      <c r="F33" s="44">
        <v>5</v>
      </c>
      <c r="G33" s="45" t="s">
        <v>43</v>
      </c>
      <c r="H33" s="62"/>
      <c r="I33" s="62"/>
    </row>
    <row r="34" spans="2:9" ht="38.25" customHeight="1" thickBot="1">
      <c r="B34" s="10" t="s">
        <v>17</v>
      </c>
      <c r="C34" s="28">
        <f>'[4]Sheet1'!$N$12</f>
        <v>227164</v>
      </c>
      <c r="D34" s="28">
        <f>'[4]Sheet1'!$R$12</f>
        <v>222055</v>
      </c>
      <c r="E34" s="28">
        <f>D34-C34</f>
        <v>-5109</v>
      </c>
      <c r="F34" s="28">
        <f>'[4]Sheet1'!$U$12</f>
        <v>158709</v>
      </c>
      <c r="G34" s="28">
        <f>C34-F34</f>
        <v>68455</v>
      </c>
      <c r="H34" s="65"/>
      <c r="I34" s="62"/>
    </row>
    <row r="35" spans="2:9" ht="13.5" thickBot="1">
      <c r="B35" s="6" t="s">
        <v>18</v>
      </c>
      <c r="C35" s="29">
        <f>C34</f>
        <v>227164</v>
      </c>
      <c r="D35" s="29">
        <f>D34</f>
        <v>222055</v>
      </c>
      <c r="E35" s="29">
        <f>E34</f>
        <v>-5109</v>
      </c>
      <c r="F35" s="29">
        <f>F34</f>
        <v>158709</v>
      </c>
      <c r="G35" s="29">
        <f>G34</f>
        <v>68455</v>
      </c>
      <c r="H35" s="62"/>
      <c r="I35" s="62"/>
    </row>
    <row r="36" spans="2:9" ht="12.75">
      <c r="B36" s="13"/>
      <c r="C36" s="62"/>
      <c r="D36" s="62"/>
      <c r="E36" s="62"/>
      <c r="F36" s="62"/>
      <c r="G36" s="62"/>
      <c r="H36" s="62"/>
      <c r="I36" s="62"/>
    </row>
    <row r="37" spans="2:9" ht="13.5" thickBot="1">
      <c r="B37" s="18" t="s">
        <v>30</v>
      </c>
      <c r="C37" s="62"/>
      <c r="D37" s="62"/>
      <c r="E37" s="62"/>
      <c r="F37" s="62"/>
      <c r="G37" s="62"/>
      <c r="H37" s="62"/>
      <c r="I37" s="62"/>
    </row>
    <row r="38" spans="2:9" ht="103.5" customHeight="1" thickBot="1">
      <c r="B38" s="22" t="s">
        <v>3</v>
      </c>
      <c r="C38" s="5" t="s">
        <v>25</v>
      </c>
      <c r="D38" s="8" t="s">
        <v>26</v>
      </c>
      <c r="E38" s="23" t="s">
        <v>31</v>
      </c>
      <c r="F38" s="5" t="s">
        <v>27</v>
      </c>
      <c r="G38" s="22" t="s">
        <v>29</v>
      </c>
      <c r="H38" s="62"/>
      <c r="I38" s="62"/>
    </row>
    <row r="39" spans="2:9" ht="13.5" customHeight="1" thickBot="1">
      <c r="B39" s="43">
        <v>1</v>
      </c>
      <c r="C39" s="44">
        <v>2</v>
      </c>
      <c r="D39" s="44">
        <v>3</v>
      </c>
      <c r="E39" s="44" t="s">
        <v>42</v>
      </c>
      <c r="F39" s="44">
        <v>5</v>
      </c>
      <c r="G39" s="45" t="s">
        <v>43</v>
      </c>
      <c r="H39" s="62"/>
      <c r="I39" s="62"/>
    </row>
    <row r="40" spans="2:9" ht="16.5" customHeight="1">
      <c r="B40" s="54" t="s">
        <v>69</v>
      </c>
      <c r="C40" s="50">
        <f>'[4]Sheet1'!$N$33</f>
        <v>181070</v>
      </c>
      <c r="D40" s="50">
        <f>'[4]Sheet1'!$R$33</f>
        <v>176998</v>
      </c>
      <c r="E40" s="50">
        <f>D40-C40</f>
        <v>-4072</v>
      </c>
      <c r="F40" s="50">
        <f>'[4]Sheet1'!$T$33</f>
        <v>332846</v>
      </c>
      <c r="G40" s="50">
        <f>C40-F40</f>
        <v>-151776</v>
      </c>
      <c r="H40" s="62"/>
      <c r="I40" s="62"/>
    </row>
    <row r="41" spans="2:9" ht="24" customHeight="1" thickBot="1">
      <c r="B41" s="55"/>
      <c r="C41" s="51"/>
      <c r="D41" s="51"/>
      <c r="E41" s="51"/>
      <c r="F41" s="51"/>
      <c r="G41" s="51"/>
      <c r="H41" s="62"/>
      <c r="I41" s="62"/>
    </row>
    <row r="42" spans="2:9" ht="17.25" customHeight="1">
      <c r="B42" s="54" t="s">
        <v>44</v>
      </c>
      <c r="C42" s="50">
        <f>1294720.03-140598.74</f>
        <v>1154121.29</v>
      </c>
      <c r="D42" s="50">
        <v>1079160.3</v>
      </c>
      <c r="E42" s="50">
        <f>D42-C42</f>
        <v>-74960.98999999999</v>
      </c>
      <c r="F42" s="50">
        <f>'[4]Sheet1'!$T$36</f>
        <v>1201390</v>
      </c>
      <c r="G42" s="50">
        <f>C42-F42</f>
        <v>-47268.70999999996</v>
      </c>
      <c r="H42" s="62"/>
      <c r="I42" s="62"/>
    </row>
    <row r="43" spans="2:9" ht="13.5" thickBot="1">
      <c r="B43" s="55"/>
      <c r="C43" s="51"/>
      <c r="D43" s="51"/>
      <c r="E43" s="51"/>
      <c r="F43" s="51"/>
      <c r="G43" s="51"/>
      <c r="H43" s="62"/>
      <c r="I43" s="62"/>
    </row>
    <row r="44" spans="2:9" ht="13.5" thickBot="1">
      <c r="B44" s="7" t="s">
        <v>19</v>
      </c>
      <c r="C44" s="29">
        <f>C40+C42</f>
        <v>1335191.29</v>
      </c>
      <c r="D44" s="29">
        <f>D40+D42</f>
        <v>1256158.3</v>
      </c>
      <c r="E44" s="29">
        <f>E40+E42</f>
        <v>-79032.98999999999</v>
      </c>
      <c r="F44" s="29">
        <f>F40+F42</f>
        <v>1534236</v>
      </c>
      <c r="G44" s="29">
        <f>G40+G42</f>
        <v>-199044.70999999996</v>
      </c>
      <c r="H44" s="62"/>
      <c r="I44" s="62"/>
    </row>
    <row r="45" spans="2:9" ht="12.75">
      <c r="B45" s="11"/>
      <c r="C45" s="62"/>
      <c r="D45" s="62"/>
      <c r="E45" s="62"/>
      <c r="F45" s="62"/>
      <c r="G45" s="62"/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20" t="s">
        <v>62</v>
      </c>
      <c r="C47" s="62"/>
      <c r="D47" s="62"/>
      <c r="E47" s="62"/>
      <c r="F47" s="62"/>
      <c r="G47" s="31">
        <f>F49+F50</f>
        <v>-97214.98999999999</v>
      </c>
      <c r="H47" s="62"/>
      <c r="I47" s="62"/>
    </row>
    <row r="48" spans="2:9" ht="12.75">
      <c r="B48" s="30" t="s">
        <v>32</v>
      </c>
      <c r="C48" s="65"/>
      <c r="D48" s="62"/>
      <c r="E48" s="62"/>
      <c r="F48" s="62"/>
      <c r="G48" s="62"/>
      <c r="H48" s="62"/>
      <c r="I48" s="62"/>
    </row>
    <row r="49" spans="2:9" ht="12.75">
      <c r="B49" s="38" t="s">
        <v>67</v>
      </c>
      <c r="C49" s="62"/>
      <c r="D49" s="62"/>
      <c r="E49" s="62"/>
      <c r="F49" s="32">
        <f>(E29+E35)</f>
        <v>-18182</v>
      </c>
      <c r="G49" s="62"/>
      <c r="H49" s="62"/>
      <c r="I49" s="62"/>
    </row>
    <row r="50" spans="2:9" ht="12.75">
      <c r="B50" s="38" t="s">
        <v>64</v>
      </c>
      <c r="C50" s="62"/>
      <c r="D50" s="62"/>
      <c r="E50" s="62"/>
      <c r="F50" s="32">
        <f>(E44)</f>
        <v>-79032.98999999999</v>
      </c>
      <c r="G50" s="62"/>
      <c r="H50" s="62"/>
      <c r="I50" s="62"/>
    </row>
    <row r="51" spans="2:9" ht="12.75">
      <c r="B51" s="38"/>
      <c r="C51" s="62"/>
      <c r="D51" s="62"/>
      <c r="E51" s="62"/>
      <c r="F51" s="32"/>
      <c r="G51" s="62"/>
      <c r="H51" s="62"/>
      <c r="I51" s="62"/>
    </row>
    <row r="52" spans="2:9" s="33" customFormat="1" ht="12.75">
      <c r="B52" s="34" t="s">
        <v>35</v>
      </c>
      <c r="C52" s="66"/>
      <c r="D52" s="66"/>
      <c r="E52" s="67"/>
      <c r="F52" s="37"/>
      <c r="G52" s="31">
        <f>F54+F55</f>
        <v>-199044.70999999996</v>
      </c>
      <c r="H52" s="66"/>
      <c r="I52" s="66"/>
    </row>
    <row r="53" spans="2:9" s="33" customFormat="1" ht="12.75">
      <c r="B53" s="30" t="s">
        <v>32</v>
      </c>
      <c r="C53" s="66"/>
      <c r="D53" s="66"/>
      <c r="E53" s="67"/>
      <c r="F53" s="37"/>
      <c r="G53" s="41"/>
      <c r="H53" s="66"/>
      <c r="I53" s="66"/>
    </row>
    <row r="54" spans="2:9" s="33" customFormat="1" ht="12.75">
      <c r="B54" s="38" t="s">
        <v>36</v>
      </c>
      <c r="C54" s="66"/>
      <c r="D54" s="66"/>
      <c r="E54" s="67"/>
      <c r="F54" s="32">
        <f>IF((G29+G35)&lt;=0,G29+G35,0)</f>
        <v>0</v>
      </c>
      <c r="G54" s="41"/>
      <c r="H54" s="66"/>
      <c r="I54" s="66"/>
    </row>
    <row r="55" spans="2:9" s="33" customFormat="1" ht="12.75">
      <c r="B55" s="38" t="s">
        <v>37</v>
      </c>
      <c r="C55" s="66"/>
      <c r="D55" s="66"/>
      <c r="E55" s="67"/>
      <c r="F55" s="32">
        <f>IF(G44&lt;=0,G44,0)</f>
        <v>-199044.70999999996</v>
      </c>
      <c r="G55" s="41"/>
      <c r="H55" s="66"/>
      <c r="I55" s="66"/>
    </row>
    <row r="56" spans="2:9" s="33" customFormat="1" ht="12.75">
      <c r="B56" s="38"/>
      <c r="C56" s="66"/>
      <c r="D56" s="66"/>
      <c r="E56" s="67"/>
      <c r="F56" s="37"/>
      <c r="G56" s="41"/>
      <c r="H56" s="66"/>
      <c r="I56" s="66"/>
    </row>
    <row r="57" spans="2:9" s="33" customFormat="1" ht="12.75">
      <c r="B57" s="34" t="s">
        <v>65</v>
      </c>
      <c r="C57" s="66"/>
      <c r="D57" s="66"/>
      <c r="E57" s="67"/>
      <c r="F57" s="37"/>
      <c r="G57" s="31">
        <f>F59+F60</f>
        <v>31193</v>
      </c>
      <c r="H57" s="66"/>
      <c r="I57" s="66"/>
    </row>
    <row r="58" spans="2:9" ht="12.75">
      <c r="B58" s="30" t="s">
        <v>32</v>
      </c>
      <c r="C58" s="62"/>
      <c r="D58" s="62"/>
      <c r="E58" s="62"/>
      <c r="F58" s="11"/>
      <c r="G58" s="41"/>
      <c r="H58" s="62"/>
      <c r="I58" s="62"/>
    </row>
    <row r="59" spans="2:9" ht="12.75">
      <c r="B59" s="38" t="s">
        <v>36</v>
      </c>
      <c r="C59" s="62"/>
      <c r="D59" s="62"/>
      <c r="E59" s="62"/>
      <c r="F59" s="32">
        <f>IF((G29+G35)&gt;0,G29+G35,0)</f>
        <v>31193</v>
      </c>
      <c r="G59" s="62"/>
      <c r="H59" s="62"/>
      <c r="I59" s="62"/>
    </row>
    <row r="60" spans="2:9" ht="12.75">
      <c r="B60" s="38" t="s">
        <v>37</v>
      </c>
      <c r="C60" s="62"/>
      <c r="D60" s="62"/>
      <c r="E60" s="62"/>
      <c r="F60" s="32">
        <f>IF(G44&gt;0,G44,0)</f>
        <v>0</v>
      </c>
      <c r="G60" s="62"/>
      <c r="H60" s="62"/>
      <c r="I60" s="62"/>
    </row>
    <row r="61" spans="2:9" ht="12.75">
      <c r="B61" s="38"/>
      <c r="C61" s="62"/>
      <c r="D61" s="62"/>
      <c r="E61" s="62"/>
      <c r="F61" s="32"/>
      <c r="G61" s="62"/>
      <c r="H61" s="62"/>
      <c r="I61" s="62"/>
    </row>
    <row r="62" spans="2:9" ht="12.75">
      <c r="B62" s="49" t="s">
        <v>57</v>
      </c>
      <c r="C62" s="19"/>
      <c r="D62" s="19"/>
      <c r="E62" s="19"/>
      <c r="F62" s="11"/>
      <c r="G62" s="19"/>
      <c r="H62" s="19"/>
      <c r="I62" s="19"/>
    </row>
    <row r="63" spans="2:9" ht="12.75">
      <c r="B63" s="11" t="s">
        <v>58</v>
      </c>
      <c r="C63" s="19"/>
      <c r="D63" s="19"/>
      <c r="E63" s="48"/>
      <c r="F63" s="37"/>
      <c r="G63" s="31">
        <f>1220.87+400+700+2400*2</f>
        <v>7120.87</v>
      </c>
      <c r="H63" s="19"/>
      <c r="I63" s="19"/>
    </row>
    <row r="64" spans="2:9" ht="12.75">
      <c r="B64" s="18"/>
      <c r="C64" s="19"/>
      <c r="D64" s="19"/>
      <c r="E64" s="19"/>
      <c r="F64" s="19"/>
      <c r="G64" s="19"/>
      <c r="H64" s="19"/>
      <c r="I64" s="19"/>
    </row>
    <row r="65" spans="2:9" ht="12.75">
      <c r="B65" s="38"/>
      <c r="C65" s="19"/>
      <c r="D65" s="19"/>
      <c r="E65" s="19"/>
      <c r="F65" s="32"/>
      <c r="G65" s="19"/>
      <c r="H65" s="19"/>
      <c r="I65" s="19"/>
    </row>
    <row r="66" spans="2:9" ht="15.75">
      <c r="B66" s="39" t="s">
        <v>49</v>
      </c>
      <c r="C66" s="19"/>
      <c r="D66" s="19"/>
      <c r="E66" s="19"/>
      <c r="F66" s="40">
        <f>G52+G57+G63</f>
        <v>-160730.83999999997</v>
      </c>
      <c r="G66" s="40" t="s">
        <v>40</v>
      </c>
      <c r="H66" s="19"/>
      <c r="I66" s="19"/>
    </row>
    <row r="67" spans="2:9" ht="12.75">
      <c r="B67" s="24" t="s">
        <v>38</v>
      </c>
      <c r="C67" s="19"/>
      <c r="D67" s="19"/>
      <c r="E67" s="19"/>
      <c r="F67" s="32"/>
      <c r="G67" s="19"/>
      <c r="H67" s="19"/>
      <c r="I67" s="19"/>
    </row>
    <row r="68" spans="2:9" ht="12.75">
      <c r="B68" s="24" t="s">
        <v>39</v>
      </c>
      <c r="C68" s="19"/>
      <c r="D68" s="19"/>
      <c r="E68" s="19"/>
      <c r="F68" s="32"/>
      <c r="G68" s="19"/>
      <c r="H68" s="19"/>
      <c r="I68" s="19"/>
    </row>
    <row r="69" spans="2:9" ht="12.75">
      <c r="B69" s="38"/>
      <c r="C69" s="19"/>
      <c r="D69" s="19"/>
      <c r="E69" s="19"/>
      <c r="F69" s="32"/>
      <c r="G69" s="19"/>
      <c r="H69" s="19"/>
      <c r="I69" s="19"/>
    </row>
    <row r="70" spans="2:9" ht="15.75">
      <c r="B70" s="39" t="s">
        <v>50</v>
      </c>
      <c r="C70" s="19"/>
      <c r="D70" s="19"/>
      <c r="E70" s="19"/>
      <c r="F70" s="40">
        <f>G47</f>
        <v>-97214.98999999999</v>
      </c>
      <c r="G70" s="40" t="s">
        <v>40</v>
      </c>
      <c r="H70" s="19"/>
      <c r="I70" s="19"/>
    </row>
    <row r="71" spans="2:9" ht="12.75">
      <c r="B71" s="24" t="s">
        <v>52</v>
      </c>
      <c r="C71" s="19"/>
      <c r="D71" s="19"/>
      <c r="E71" s="19"/>
      <c r="F71" s="32"/>
      <c r="G71" s="19"/>
      <c r="H71" s="19"/>
      <c r="I71" s="19"/>
    </row>
    <row r="72" spans="2:9" ht="12.75">
      <c r="B72" s="24" t="s">
        <v>53</v>
      </c>
      <c r="C72" s="19"/>
      <c r="D72" s="19"/>
      <c r="E72" s="19"/>
      <c r="F72" s="32"/>
      <c r="G72" s="19"/>
      <c r="H72" s="19"/>
      <c r="I72" s="19"/>
    </row>
    <row r="73" spans="2:9" ht="12.75">
      <c r="B73" s="13"/>
      <c r="C73" s="19"/>
      <c r="D73" s="19"/>
      <c r="E73" s="19"/>
      <c r="F73" s="19"/>
      <c r="G73" s="19"/>
      <c r="H73" s="19"/>
      <c r="I73" s="19"/>
    </row>
    <row r="74" spans="2:9" ht="15.75">
      <c r="B74" s="39" t="s">
        <v>56</v>
      </c>
      <c r="C74" s="19"/>
      <c r="D74" s="19"/>
      <c r="E74" s="19"/>
      <c r="F74" s="40">
        <f>D5+F66</f>
        <v>-326272.5</v>
      </c>
      <c r="G74" s="40" t="s">
        <v>40</v>
      </c>
      <c r="H74" s="19"/>
      <c r="I74" s="19"/>
    </row>
    <row r="75" spans="2:9" ht="12.75">
      <c r="B75" s="24" t="s">
        <v>38</v>
      </c>
      <c r="C75" s="19"/>
      <c r="D75" s="19"/>
      <c r="E75" s="19"/>
      <c r="F75" s="32"/>
      <c r="G75" s="19"/>
      <c r="H75" s="19"/>
      <c r="I75" s="19"/>
    </row>
    <row r="76" spans="2:9" ht="12.75">
      <c r="B76" s="24" t="s">
        <v>39</v>
      </c>
      <c r="C76" s="19"/>
      <c r="D76" s="19"/>
      <c r="E76" s="19"/>
      <c r="F76" s="32"/>
      <c r="G76" s="19"/>
      <c r="H76" s="19"/>
      <c r="I76" s="19"/>
    </row>
    <row r="77" spans="2:9" ht="12.75">
      <c r="B77" s="38"/>
      <c r="C77" s="19"/>
      <c r="D77" s="19"/>
      <c r="E77" s="19"/>
      <c r="F77" s="32"/>
      <c r="G77" s="19"/>
      <c r="H77" s="19"/>
      <c r="I77" s="19"/>
    </row>
    <row r="78" spans="2:9" ht="15.75">
      <c r="B78" s="39" t="s">
        <v>51</v>
      </c>
      <c r="C78" s="19"/>
      <c r="D78" s="19"/>
      <c r="E78" s="19"/>
      <c r="F78" s="40">
        <f>-179206.05-418844.73</f>
        <v>-598050.78</v>
      </c>
      <c r="G78" s="40" t="s">
        <v>40</v>
      </c>
      <c r="H78" s="19"/>
      <c r="I78" s="19"/>
    </row>
    <row r="79" spans="2:9" ht="12.75">
      <c r="B79" s="24" t="s">
        <v>52</v>
      </c>
      <c r="C79" s="19"/>
      <c r="D79" s="19"/>
      <c r="E79" s="19"/>
      <c r="F79" s="32"/>
      <c r="G79" s="19"/>
      <c r="H79" s="19"/>
      <c r="I79" s="19"/>
    </row>
    <row r="80" spans="2:9" ht="12.75">
      <c r="B80" s="24" t="s">
        <v>53</v>
      </c>
      <c r="C80" s="19"/>
      <c r="D80" s="19"/>
      <c r="E80" s="19"/>
      <c r="F80" s="32"/>
      <c r="G80" s="19"/>
      <c r="H80" s="19"/>
      <c r="I80" s="19"/>
    </row>
    <row r="81" spans="2:9" ht="12.75">
      <c r="B81" s="11"/>
      <c r="C81" s="62"/>
      <c r="D81" s="62"/>
      <c r="E81" s="62"/>
      <c r="F81" s="62"/>
      <c r="G81" s="62"/>
      <c r="H81" s="62"/>
      <c r="I81" s="62"/>
    </row>
    <row r="82" spans="2:9" ht="12.75">
      <c r="B82" s="11"/>
      <c r="C82" s="21" t="s">
        <v>20</v>
      </c>
      <c r="D82" s="11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="11" customFormat="1" ht="12.75">
      <c r="A84" s="37"/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B42:B43"/>
    <mergeCell ref="B13:G13"/>
    <mergeCell ref="B18:G18"/>
    <mergeCell ref="E40:E41"/>
    <mergeCell ref="C14:C16"/>
    <mergeCell ref="D14:D16"/>
    <mergeCell ref="E14:E16"/>
    <mergeCell ref="F14:F16"/>
    <mergeCell ref="B40:B41"/>
    <mergeCell ref="G40:G41"/>
    <mergeCell ref="G42:G43"/>
    <mergeCell ref="F40:F41"/>
    <mergeCell ref="G14:G16"/>
    <mergeCell ref="C42:C43"/>
    <mergeCell ref="D42:D43"/>
    <mergeCell ref="F42:F43"/>
    <mergeCell ref="C40:C41"/>
    <mergeCell ref="D40:D41"/>
    <mergeCell ref="E42:E43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37">
      <selection activeCell="F45" sqref="F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115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-627534.3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'[40]Sheet1'!$N$15</f>
        <v>178654</v>
      </c>
      <c r="D15" s="50">
        <f>'[40]Sheet1'!$R$15</f>
        <v>168219</v>
      </c>
      <c r="E15" s="50">
        <f>D15-C15</f>
        <v>-10435</v>
      </c>
      <c r="F15" s="50">
        <f>'[40]Sheet1'!$T$15</f>
        <v>178654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178654</v>
      </c>
      <c r="D18" s="26">
        <f>D15</f>
        <v>168219</v>
      </c>
      <c r="E18" s="26">
        <f>E15</f>
        <v>-10435</v>
      </c>
      <c r="F18" s="26">
        <f>F15</f>
        <v>178654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'[40]Sheet1'!$N$18</f>
        <v>72882</v>
      </c>
      <c r="D21" s="25">
        <f>'[40]Sheet1'!$R$18</f>
        <v>68625</v>
      </c>
      <c r="E21" s="25">
        <f>D21-C21</f>
        <v>-4257</v>
      </c>
      <c r="F21" s="25">
        <f>'[40]Sheet1'!$T$18</f>
        <v>72882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'[40]Sheet1'!$N$19</f>
        <v>6715</v>
      </c>
      <c r="D22" s="25">
        <f>'[40]Sheet1'!$R$19</f>
        <v>6323</v>
      </c>
      <c r="E22" s="25">
        <f>D22-C22</f>
        <v>-392</v>
      </c>
      <c r="F22" s="25">
        <f>'[40]Sheet1'!$T$19</f>
        <v>6715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'[40]Sheet1'!$N$20</f>
        <v>15045</v>
      </c>
      <c r="D23" s="25">
        <f>'[40]Sheet1'!$R$20</f>
        <v>14167</v>
      </c>
      <c r="E23" s="25">
        <f>D23-C23</f>
        <v>-878</v>
      </c>
      <c r="F23" s="25">
        <f>'[40]Sheet1'!$T$20</f>
        <v>15045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'[40]Sheet1'!$K$22</f>
        <v>23378</v>
      </c>
      <c r="D24" s="25">
        <f>'[40]Sheet1'!$R$22</f>
        <v>22012</v>
      </c>
      <c r="E24" s="25">
        <f>D24-C24</f>
        <v>-1366</v>
      </c>
      <c r="F24" s="25">
        <f>'[40]Sheet1'!$T$22</f>
        <v>19128</v>
      </c>
      <c r="G24" s="25">
        <f>C24-F24</f>
        <v>4250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f>C26</f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'[40]Sheet1'!$N$26</f>
        <v>134167</v>
      </c>
      <c r="D27" s="25">
        <f>'[40]Sheet1'!$R$26</f>
        <v>126330</v>
      </c>
      <c r="E27" s="25">
        <f>D27-C27</f>
        <v>-7837</v>
      </c>
      <c r="F27" s="25">
        <f>'[40]Sheet1'!$T$26</f>
        <v>134167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'[40]Sheet1'!$N$41+'[40]Sheet1'!$N$42</f>
        <v>22340</v>
      </c>
      <c r="D28" s="25">
        <f>'[40]Sheet1'!$R$41+'[40]Sheet1'!$R$42</f>
        <v>21035</v>
      </c>
      <c r="E28" s="25">
        <f>D28-C28</f>
        <v>-1305</v>
      </c>
      <c r="F28" s="25">
        <f>'[40]Sheet1'!$T$41+'[40]Sheet1'!$T$42</f>
        <v>22340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274527</v>
      </c>
      <c r="D29" s="26">
        <f>SUM(D20:D28)</f>
        <v>258492</v>
      </c>
      <c r="E29" s="26">
        <f>SUM(E20:E28)</f>
        <v>-16035</v>
      </c>
      <c r="F29" s="26">
        <f>SUM(F20:F28)</f>
        <v>270277</v>
      </c>
      <c r="G29" s="26">
        <f>SUM(G20:G28)</f>
        <v>4250</v>
      </c>
      <c r="H29" s="62"/>
      <c r="I29" s="62"/>
    </row>
    <row r="30" spans="2:9" ht="13.5" thickBot="1">
      <c r="B30" s="7" t="s">
        <v>15</v>
      </c>
      <c r="C30" s="26">
        <f>C18+C29</f>
        <v>453181</v>
      </c>
      <c r="D30" s="26">
        <f>D18+D29</f>
        <v>426711</v>
      </c>
      <c r="E30" s="26">
        <f>E18+E29</f>
        <v>-26470</v>
      </c>
      <c r="F30" s="26">
        <f>F18+F29</f>
        <v>448931</v>
      </c>
      <c r="G30" s="26">
        <f>G18+G29</f>
        <v>4250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'[40]Sheet1'!$N$12</f>
        <v>350249</v>
      </c>
      <c r="D35" s="28">
        <f>'[40]Sheet1'!$R$12</f>
        <v>329791</v>
      </c>
      <c r="E35" s="28">
        <f>D35-C35</f>
        <v>-20458</v>
      </c>
      <c r="F35" s="28">
        <f>'[40]Sheet1'!$U$12</f>
        <v>130516</v>
      </c>
      <c r="G35" s="28">
        <f>C35-F35</f>
        <v>219733</v>
      </c>
      <c r="H35" s="65"/>
      <c r="I35" s="62"/>
    </row>
    <row r="36" spans="2:9" ht="13.5" thickBot="1">
      <c r="B36" s="6" t="s">
        <v>18</v>
      </c>
      <c r="C36" s="29">
        <f>C35</f>
        <v>350249</v>
      </c>
      <c r="D36" s="29">
        <f>D35</f>
        <v>329791</v>
      </c>
      <c r="E36" s="29">
        <f>E35</f>
        <v>-20458</v>
      </c>
      <c r="F36" s="29">
        <f>F35</f>
        <v>130516</v>
      </c>
      <c r="G36" s="29">
        <f>G35</f>
        <v>219733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46</v>
      </c>
      <c r="C41" s="50">
        <f>'[40]Sheet1'!$N$33</f>
        <v>437711</v>
      </c>
      <c r="D41" s="50">
        <f>'[40]Sheet1'!$R$33</f>
        <v>412145</v>
      </c>
      <c r="E41" s="50">
        <f>D41-C41</f>
        <v>-25566</v>
      </c>
      <c r="F41" s="50">
        <f>'[40]Sheet1'!$T$33</f>
        <v>519326</v>
      </c>
      <c r="G41" s="50">
        <f>C41-F41</f>
        <v>-81615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1627405.59-71433.98</f>
        <v>1555971.61</v>
      </c>
      <c r="D43" s="50">
        <v>1437063.8</v>
      </c>
      <c r="E43" s="50">
        <f>D43-C43</f>
        <v>-118907.81000000006</v>
      </c>
      <c r="F43" s="50">
        <f>C43</f>
        <v>1555971.61</v>
      </c>
      <c r="G43" s="50">
        <f>C43-F43</f>
        <v>0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1993682.61</v>
      </c>
      <c r="D45" s="29">
        <f>D41+D43</f>
        <v>1849208.8</v>
      </c>
      <c r="E45" s="29">
        <f>E41+E43</f>
        <v>-144473.81000000006</v>
      </c>
      <c r="F45" s="29">
        <f>F41+F43</f>
        <v>2075297.61</v>
      </c>
      <c r="G45" s="29">
        <f>G41+G43</f>
        <v>-81615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-191401.81000000006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-46928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-144473.81000000006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-81615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-81615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223983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223983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144688.87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-191401.81000000006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-482845.43000000005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-222232.37-145152.89</f>
        <v>-367385.26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1:3" s="11" customFormat="1" ht="12.75">
      <c r="A84" s="37"/>
      <c r="C84" s="21" t="s">
        <v>20</v>
      </c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2:6" ht="15">
      <c r="B86" s="17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35">
      <selection activeCell="F45" sqref="F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116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-156373.91999999998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'[41]Sheet1'!$N$15</f>
        <v>219883</v>
      </c>
      <c r="D15" s="50">
        <f>'[41]Sheet1'!$R$15</f>
        <v>208027</v>
      </c>
      <c r="E15" s="50">
        <f>D15-C15</f>
        <v>-11856</v>
      </c>
      <c r="F15" s="50">
        <f>'[41]Sheet1'!$T$15</f>
        <v>219883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219883</v>
      </c>
      <c r="D18" s="26">
        <f>D15</f>
        <v>208027</v>
      </c>
      <c r="E18" s="26">
        <f>E15</f>
        <v>-11856</v>
      </c>
      <c r="F18" s="26">
        <f>F15</f>
        <v>219883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'[41]Sheet1'!$N$18</f>
        <v>93556</v>
      </c>
      <c r="D21" s="25">
        <f>'[41]Sheet1'!$R$18</f>
        <v>88511</v>
      </c>
      <c r="E21" s="25">
        <f>D21-C21</f>
        <v>-5045</v>
      </c>
      <c r="F21" s="25">
        <f>'[41]Sheet1'!$T$18</f>
        <v>93556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'[41]Sheet1'!$N$19</f>
        <v>8646</v>
      </c>
      <c r="D22" s="25">
        <f>'[41]Sheet1'!$R$19</f>
        <v>8180</v>
      </c>
      <c r="E22" s="25">
        <f>D22-C22</f>
        <v>-466</v>
      </c>
      <c r="F22" s="25">
        <f>'[41]Sheet1'!$T$19</f>
        <v>8646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'[41]Sheet1'!$N$20</f>
        <v>19256</v>
      </c>
      <c r="D23" s="25">
        <f>'[41]Sheet1'!$R$20</f>
        <v>18218</v>
      </c>
      <c r="E23" s="25">
        <f>D23-C23</f>
        <v>-1038</v>
      </c>
      <c r="F23" s="25">
        <f>'[41]Sheet1'!$T$20</f>
        <v>19256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'[41]Sheet1'!$K$22</f>
        <v>30718</v>
      </c>
      <c r="D24" s="25">
        <f>'[41]Sheet1'!$R$22</f>
        <v>29061</v>
      </c>
      <c r="E24" s="25">
        <f>D24-C24</f>
        <v>-1657</v>
      </c>
      <c r="F24" s="25">
        <f>'[41]Sheet1'!$T$22</f>
        <v>14816</v>
      </c>
      <c r="G24" s="25">
        <f>C24-F24</f>
        <v>15902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f>C26</f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'[41]Sheet1'!$N$26</f>
        <v>171742</v>
      </c>
      <c r="D27" s="25">
        <f>'[41]Sheet1'!$R$26</f>
        <v>162482</v>
      </c>
      <c r="E27" s="25">
        <f>D27-C27</f>
        <v>-9260</v>
      </c>
      <c r="F27" s="25">
        <f>'[41]Sheet1'!$T$26</f>
        <v>171742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'[41]Sheet1'!$N$41+'[41]Sheet1'!$N$42</f>
        <v>28701</v>
      </c>
      <c r="D28" s="25">
        <f>'[41]Sheet1'!$R$41+'[41]Sheet1'!$R$42</f>
        <v>27153</v>
      </c>
      <c r="E28" s="25">
        <f>D28-C28</f>
        <v>-1548</v>
      </c>
      <c r="F28" s="25">
        <f>'[41]Sheet1'!$T$41+'[41]Sheet1'!$T$42</f>
        <v>28701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352619</v>
      </c>
      <c r="D29" s="26">
        <f>SUM(D20:D28)</f>
        <v>333605</v>
      </c>
      <c r="E29" s="26">
        <f>SUM(E20:E28)</f>
        <v>-19014</v>
      </c>
      <c r="F29" s="26">
        <f>SUM(F20:F28)</f>
        <v>336717</v>
      </c>
      <c r="G29" s="26">
        <f>SUM(G20:G28)</f>
        <v>15902</v>
      </c>
      <c r="H29" s="62"/>
      <c r="I29" s="62"/>
    </row>
    <row r="30" spans="2:9" ht="13.5" thickBot="1">
      <c r="B30" s="7" t="s">
        <v>15</v>
      </c>
      <c r="C30" s="26">
        <f>C18+C29</f>
        <v>572502</v>
      </c>
      <c r="D30" s="26">
        <f>D18+D29</f>
        <v>541632</v>
      </c>
      <c r="E30" s="26">
        <f>E18+E29</f>
        <v>-30870</v>
      </c>
      <c r="F30" s="26">
        <f>F18+F29</f>
        <v>556600</v>
      </c>
      <c r="G30" s="26">
        <f>G18+G29</f>
        <v>15902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'[41]Sheet1'!$N$12</f>
        <v>443071</v>
      </c>
      <c r="D35" s="28">
        <f>'[41]Sheet1'!$R$12</f>
        <v>419182</v>
      </c>
      <c r="E35" s="28">
        <f>D35-C35</f>
        <v>-23889</v>
      </c>
      <c r="F35" s="28">
        <f>'[41]Sheet1'!$U$12</f>
        <v>349030</v>
      </c>
      <c r="G35" s="28">
        <f>C35-F35</f>
        <v>94041</v>
      </c>
      <c r="H35" s="65"/>
      <c r="I35" s="62"/>
    </row>
    <row r="36" spans="2:9" ht="13.5" thickBot="1">
      <c r="B36" s="6" t="s">
        <v>18</v>
      </c>
      <c r="C36" s="29">
        <f>C35</f>
        <v>443071</v>
      </c>
      <c r="D36" s="29">
        <f>D35</f>
        <v>419182</v>
      </c>
      <c r="E36" s="29">
        <f>E35</f>
        <v>-23889</v>
      </c>
      <c r="F36" s="29">
        <f>F35</f>
        <v>349030</v>
      </c>
      <c r="G36" s="29">
        <f>G35</f>
        <v>94041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'[41]Sheet1'!$N$33</f>
        <v>661130</v>
      </c>
      <c r="D41" s="50">
        <f>'[41]Sheet1'!$R$33</f>
        <v>625484</v>
      </c>
      <c r="E41" s="50">
        <f>D41-C41</f>
        <v>-35646</v>
      </c>
      <c r="F41" s="50">
        <f>'[41]Sheet1'!$T$33</f>
        <v>721266</v>
      </c>
      <c r="G41" s="50">
        <f>C41-F41</f>
        <v>-60136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2231875.4-200513.45</f>
        <v>2031361.95</v>
      </c>
      <c r="D43" s="50">
        <v>2036747.4</v>
      </c>
      <c r="E43" s="50">
        <f>D43-C43</f>
        <v>5385.449999999953</v>
      </c>
      <c r="F43" s="50">
        <f>C43</f>
        <v>2031361.95</v>
      </c>
      <c r="G43" s="50">
        <f>C43-F43</f>
        <v>0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2692491.95</v>
      </c>
      <c r="D45" s="29">
        <f>D41+D43</f>
        <v>2662231.4</v>
      </c>
      <c r="E45" s="29">
        <f>E41+E43</f>
        <v>-30260.550000000047</v>
      </c>
      <c r="F45" s="29">
        <f>F41+F43</f>
        <v>2752627.95</v>
      </c>
      <c r="G45" s="29">
        <f>G41+G43</f>
        <v>-60136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-85019.55000000005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-54759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-30260.550000000047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-60136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-60136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109943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109943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52127.87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-85019.55000000005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-104246.04999999999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-172985.61-413304.16</f>
        <v>-586289.77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41">
      <selection activeCell="J43" sqref="J43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117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-810185.24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'[42]Sheet1'!$N$15</f>
        <v>222907</v>
      </c>
      <c r="D15" s="50">
        <f>'[42]Sheet1'!$R$15</f>
        <v>224257</v>
      </c>
      <c r="E15" s="50">
        <f>D15-C15</f>
        <v>1350</v>
      </c>
      <c r="F15" s="50">
        <f>'[42]Sheet1'!$T$15</f>
        <v>222907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222907</v>
      </c>
      <c r="D18" s="26">
        <f>D15</f>
        <v>224257</v>
      </c>
      <c r="E18" s="26">
        <f>E15</f>
        <v>1350</v>
      </c>
      <c r="F18" s="26">
        <f>F15</f>
        <v>222907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f>'[42]Sheet1'!$N$17</f>
        <v>103930</v>
      </c>
      <c r="D20" s="25">
        <f>'[42]Sheet1'!$R$17</f>
        <v>104560</v>
      </c>
      <c r="E20" s="25">
        <f>D20-C20</f>
        <v>630</v>
      </c>
      <c r="F20" s="25">
        <f>C20</f>
        <v>103930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'[42]Sheet1'!$N$18</f>
        <v>59023</v>
      </c>
      <c r="D21" s="25">
        <f>'[42]Sheet1'!$R$18</f>
        <v>59381</v>
      </c>
      <c r="E21" s="25">
        <f>D21-C21</f>
        <v>358</v>
      </c>
      <c r="F21" s="25">
        <f>'[42]Sheet1'!$T$18</f>
        <v>59023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'[42]Sheet1'!$N$19</f>
        <v>3926</v>
      </c>
      <c r="D22" s="25">
        <f>'[42]Sheet1'!$R$19</f>
        <v>3950</v>
      </c>
      <c r="E22" s="25">
        <f>D22-C22</f>
        <v>24</v>
      </c>
      <c r="F22" s="25">
        <f>'[42]Sheet1'!$T$19</f>
        <v>3926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'[42]Sheet1'!$N$20</f>
        <v>17471</v>
      </c>
      <c r="D23" s="25">
        <f>'[42]Sheet1'!$R$20</f>
        <v>17577</v>
      </c>
      <c r="E23" s="25">
        <f>D23-C23</f>
        <v>106</v>
      </c>
      <c r="F23" s="25">
        <f>'[42]Sheet1'!$T$20</f>
        <v>17471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'[42]Sheet1'!$N$22+'[42]Sheet1'!$N$23</f>
        <v>64150</v>
      </c>
      <c r="D24" s="25">
        <f>'[42]Sheet1'!$R$22+'[42]Sheet1'!$R$23</f>
        <v>64539</v>
      </c>
      <c r="E24" s="25">
        <f>D24-C24</f>
        <v>389</v>
      </c>
      <c r="F24" s="25">
        <f>'[42]Sheet1'!$T$22+'[42]Sheet1'!$T$23</f>
        <v>111025</v>
      </c>
      <c r="G24" s="25">
        <f>C24-F24</f>
        <v>-46875</v>
      </c>
      <c r="H24" s="62"/>
      <c r="I24" s="62"/>
    </row>
    <row r="25" spans="2:9" ht="17.25" customHeight="1" thickBot="1">
      <c r="B25" s="10" t="s">
        <v>60</v>
      </c>
      <c r="C25" s="25">
        <f>'[42]Sheet1'!$N$25</f>
        <v>239997</v>
      </c>
      <c r="D25" s="25">
        <f>'[42]Sheet1'!$R$25</f>
        <v>241451</v>
      </c>
      <c r="E25" s="25">
        <f>D25-C25</f>
        <v>1454</v>
      </c>
      <c r="F25" s="25">
        <f>C25</f>
        <v>239997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f>'[42]Sheet1'!$N$24</f>
        <v>80027</v>
      </c>
      <c r="D26" s="25">
        <f>'[42]Sheet1'!$R$24</f>
        <v>80511</v>
      </c>
      <c r="E26" s="25">
        <f>D26-C26</f>
        <v>484</v>
      </c>
      <c r="F26" s="25">
        <f>C26</f>
        <v>80027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'[42]Sheet1'!$N$26</f>
        <v>165960</v>
      </c>
      <c r="D27" s="25">
        <f>'[42]Sheet1'!$R$26</f>
        <v>166965</v>
      </c>
      <c r="E27" s="25">
        <f>D27-C27</f>
        <v>1005</v>
      </c>
      <c r="F27" s="25">
        <f>'[42]Sheet1'!$T$26</f>
        <v>165960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'[42]Sheet1'!$N$41+'[42]Sheet1'!$N$42</f>
        <v>17365</v>
      </c>
      <c r="D28" s="25">
        <f>'[42]Sheet1'!$R$41+'[42]Sheet1'!$R$42</f>
        <v>17471</v>
      </c>
      <c r="E28" s="25">
        <f>D28-C28</f>
        <v>106</v>
      </c>
      <c r="F28" s="25">
        <f>'[42]Sheet1'!$T$41+'[42]Sheet1'!$T$42</f>
        <v>17365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751849</v>
      </c>
      <c r="D29" s="26">
        <f>SUM(D20:D28)</f>
        <v>756405</v>
      </c>
      <c r="E29" s="26">
        <f>SUM(E20:E28)</f>
        <v>4556</v>
      </c>
      <c r="F29" s="26">
        <f>SUM(F20:F28)</f>
        <v>798724</v>
      </c>
      <c r="G29" s="26">
        <f>SUM(G20:G28)</f>
        <v>-46875</v>
      </c>
      <c r="H29" s="62"/>
      <c r="I29" s="62"/>
    </row>
    <row r="30" spans="2:9" ht="13.5" thickBot="1">
      <c r="B30" s="7" t="s">
        <v>15</v>
      </c>
      <c r="C30" s="26">
        <f>C18+C29</f>
        <v>974756</v>
      </c>
      <c r="D30" s="26">
        <f>D18+D29</f>
        <v>980662</v>
      </c>
      <c r="E30" s="26">
        <f>E18+E29</f>
        <v>5906</v>
      </c>
      <c r="F30" s="26">
        <f>F18+F29</f>
        <v>1021631</v>
      </c>
      <c r="G30" s="26">
        <f>G18+G29</f>
        <v>-46875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'[42]Sheet1'!$N$12</f>
        <v>389918</v>
      </c>
      <c r="D35" s="28">
        <f>'[42]Sheet1'!$R$12</f>
        <v>392280</v>
      </c>
      <c r="E35" s="28">
        <f>D35-C35</f>
        <v>2362</v>
      </c>
      <c r="F35" s="28">
        <f>'[42]Sheet1'!$U$12</f>
        <v>214419</v>
      </c>
      <c r="G35" s="28">
        <f>C35-F35</f>
        <v>175499</v>
      </c>
      <c r="H35" s="65"/>
      <c r="I35" s="62"/>
    </row>
    <row r="36" spans="2:9" ht="13.5" thickBot="1">
      <c r="B36" s="6" t="s">
        <v>18</v>
      </c>
      <c r="C36" s="29">
        <f>C35</f>
        <v>389918</v>
      </c>
      <c r="D36" s="29">
        <f>D35</f>
        <v>392280</v>
      </c>
      <c r="E36" s="29">
        <f>E35</f>
        <v>2362</v>
      </c>
      <c r="F36" s="29">
        <f>F35</f>
        <v>214419</v>
      </c>
      <c r="G36" s="29">
        <f>G35</f>
        <v>175499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'[42]Sheet1'!$N$33</f>
        <v>547060</v>
      </c>
      <c r="D41" s="50">
        <f>'[42]Sheet1'!$R$33</f>
        <v>550374</v>
      </c>
      <c r="E41" s="50">
        <f>D41-C41</f>
        <v>3314</v>
      </c>
      <c r="F41" s="50">
        <f>'[42]Sheet1'!$T$33</f>
        <v>625803</v>
      </c>
      <c r="G41" s="50">
        <f>C41-F41</f>
        <v>-78743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2449673.97-193416.94</f>
        <v>2256257.0300000003</v>
      </c>
      <c r="D43" s="50">
        <f>'[42]Sheet1'!$R$36</f>
        <v>2483015</v>
      </c>
      <c r="E43" s="50">
        <f>D43-C43</f>
        <v>226757.96999999974</v>
      </c>
      <c r="F43" s="50">
        <v>2289737.9</v>
      </c>
      <c r="G43" s="50">
        <f>C43-F43</f>
        <v>-33480.869999999646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2803317.0300000003</v>
      </c>
      <c r="D45" s="29">
        <f>D41+D43</f>
        <v>3033389</v>
      </c>
      <c r="E45" s="29">
        <f>E41+E43</f>
        <v>230071.96999999974</v>
      </c>
      <c r="F45" s="29">
        <f>F41+F43</f>
        <v>2915540.9</v>
      </c>
      <c r="G45" s="29">
        <f>G41+G43</f>
        <v>-112223.86999999965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238339.96999999974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8268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230071.96999999974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-112223.86999999965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-112223.86999999965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128624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128624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1220.87+400+700+24004</f>
        <v>26324.87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42725.00000000035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238339.96999999974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-767460.2399999996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-353152.28-152443.92</f>
        <v>-505596.20000000007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39">
      <selection activeCell="D45" sqref="D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118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-421599.08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'[43]Sheet1'!$N$15</f>
        <v>112155</v>
      </c>
      <c r="D15" s="50">
        <f>'[43]Sheet1'!$R$15</f>
        <v>98005</v>
      </c>
      <c r="E15" s="50">
        <f>D15-C15</f>
        <v>-14150</v>
      </c>
      <c r="F15" s="50">
        <f>'[43]Sheet1'!$T$15</f>
        <v>112155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112155</v>
      </c>
      <c r="D18" s="26">
        <f>D15</f>
        <v>98005</v>
      </c>
      <c r="E18" s="26">
        <f>E15</f>
        <v>-14150</v>
      </c>
      <c r="F18" s="26">
        <f>F15</f>
        <v>112155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'[43]Sheet1'!$N$18</f>
        <v>43668</v>
      </c>
      <c r="D21" s="25">
        <f>'[43]Sheet1'!$R$18</f>
        <v>38158</v>
      </c>
      <c r="E21" s="25">
        <f>D21-C21</f>
        <v>-5510</v>
      </c>
      <c r="F21" s="25">
        <f>'[43]Sheet1'!$T$18</f>
        <v>43668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'[43]Sheet1'!$N$19</f>
        <v>4011</v>
      </c>
      <c r="D22" s="25">
        <f>'[43]Sheet1'!$R$19</f>
        <v>3505</v>
      </c>
      <c r="E22" s="25">
        <f>D22-C22</f>
        <v>-506</v>
      </c>
      <c r="F22" s="25">
        <f>'[43]Sheet1'!$T$19</f>
        <v>4011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'[43]Sheet1'!$N$20</f>
        <v>9199</v>
      </c>
      <c r="D23" s="25">
        <f>'[43]Sheet1'!$R$20</f>
        <v>8038</v>
      </c>
      <c r="E23" s="25">
        <f>D23-C23</f>
        <v>-1161</v>
      </c>
      <c r="F23" s="25">
        <f>'[43]Sheet1'!$T$20</f>
        <v>9199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'[43]Sheet1'!$K$22</f>
        <v>14341</v>
      </c>
      <c r="D24" s="25">
        <f>'[43]Sheet1'!$R$22</f>
        <v>12532</v>
      </c>
      <c r="E24" s="25">
        <f>D24-C24</f>
        <v>-1809</v>
      </c>
      <c r="F24" s="25">
        <f>'[43]Sheet1'!$T$22</f>
        <v>17982</v>
      </c>
      <c r="G24" s="25">
        <f>C24-F24</f>
        <v>-3641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'[43]Sheet1'!$N$26</f>
        <v>81741</v>
      </c>
      <c r="D27" s="25">
        <f>'[43]Sheet1'!$R$26</f>
        <v>71428</v>
      </c>
      <c r="E27" s="25">
        <f>D27-C27</f>
        <v>-10313</v>
      </c>
      <c r="F27" s="25">
        <f>'[43]Sheet1'!$T$26</f>
        <v>81741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'[43]Sheet1'!$N$41+'[43]Sheet1'!$N$42</f>
        <v>13307</v>
      </c>
      <c r="D28" s="25">
        <f>'[43]Sheet1'!$R$41+'[43]Sheet1'!$R$42</f>
        <v>11628</v>
      </c>
      <c r="E28" s="25">
        <f>D28-C28</f>
        <v>-1679</v>
      </c>
      <c r="F28" s="25">
        <f>'[43]Sheet1'!$T$41+'[43]Sheet1'!$T$42</f>
        <v>13307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166267</v>
      </c>
      <c r="D29" s="26">
        <f>SUM(D20:D28)</f>
        <v>145289</v>
      </c>
      <c r="E29" s="26">
        <f>SUM(E20:E28)</f>
        <v>-20978</v>
      </c>
      <c r="F29" s="26">
        <f>SUM(F20:F28)</f>
        <v>169908</v>
      </c>
      <c r="G29" s="26">
        <f>SUM(G20:G28)</f>
        <v>-3641</v>
      </c>
      <c r="H29" s="62"/>
      <c r="I29" s="62"/>
    </row>
    <row r="30" spans="2:9" ht="13.5" thickBot="1">
      <c r="B30" s="7" t="s">
        <v>15</v>
      </c>
      <c r="C30" s="26">
        <f>C18+C29</f>
        <v>278422</v>
      </c>
      <c r="D30" s="26">
        <f>D18+D29</f>
        <v>243294</v>
      </c>
      <c r="E30" s="26">
        <f>E18+E29</f>
        <v>-35128</v>
      </c>
      <c r="F30" s="26">
        <f>F18+F29</f>
        <v>282063</v>
      </c>
      <c r="G30" s="26">
        <f>G18+G29</f>
        <v>-3641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'[43]Sheet1'!$N$12</f>
        <v>211686</v>
      </c>
      <c r="D35" s="28">
        <f>'[43]Sheet1'!$R$12</f>
        <v>184978</v>
      </c>
      <c r="E35" s="28">
        <f>D35-C35</f>
        <v>-26708</v>
      </c>
      <c r="F35" s="28">
        <f>'[43]Sheet1'!$U$12</f>
        <v>92389</v>
      </c>
      <c r="G35" s="28">
        <f>C35-F35</f>
        <v>119297</v>
      </c>
      <c r="H35" s="65"/>
      <c r="I35" s="62"/>
    </row>
    <row r="36" spans="2:9" ht="13.5" thickBot="1">
      <c r="B36" s="6" t="s">
        <v>18</v>
      </c>
      <c r="C36" s="29">
        <f>C35</f>
        <v>211686</v>
      </c>
      <c r="D36" s="29">
        <f>D35</f>
        <v>184978</v>
      </c>
      <c r="E36" s="29">
        <f>E35</f>
        <v>-26708</v>
      </c>
      <c r="F36" s="29">
        <f>F35</f>
        <v>92389</v>
      </c>
      <c r="G36" s="29">
        <f>G35</f>
        <v>119297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'[43]Sheet1'!$N$33</f>
        <v>334191</v>
      </c>
      <c r="D41" s="50">
        <f>'[43]Sheet1'!$R$33</f>
        <v>292027</v>
      </c>
      <c r="E41" s="50">
        <f>D41-C41</f>
        <v>-42164</v>
      </c>
      <c r="F41" s="50">
        <f>'[43]Sheet1'!$T$33</f>
        <v>407840</v>
      </c>
      <c r="G41" s="50">
        <f>C41-F41</f>
        <v>-73649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1018824.64-181013.97</f>
        <v>837810.67</v>
      </c>
      <c r="D43" s="50">
        <v>821128.81</v>
      </c>
      <c r="E43" s="50">
        <f>D43-C43</f>
        <v>-16681.859999999986</v>
      </c>
      <c r="F43" s="50">
        <f>'[43]Sheet1'!$T$36</f>
        <v>1021881</v>
      </c>
      <c r="G43" s="50">
        <f>C43-F43</f>
        <v>-184070.32999999996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1172001.67</v>
      </c>
      <c r="D45" s="29">
        <f>D41+D43</f>
        <v>1113155.81</v>
      </c>
      <c r="E45" s="29">
        <f>E41+E43</f>
        <v>-58845.859999999986</v>
      </c>
      <c r="F45" s="29">
        <f>F41+F43</f>
        <v>1429721</v>
      </c>
      <c r="G45" s="29">
        <f>G41+G43</f>
        <v>-257719.32999999996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-120681.85999999999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-61836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-58845.859999999986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-257719.32999999996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-257719.32999999996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115656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115656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-139742.45999999996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-120681.85999999999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-561341.54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-790723.13-203938.75</f>
        <v>-994661.88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1:3" s="11" customFormat="1" ht="12.75">
      <c r="A84" s="37"/>
      <c r="C84" s="21" t="s">
        <v>20</v>
      </c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47">
      <selection activeCell="B52" sqref="B52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119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89921.16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'[44]Sheet1'!$N$15</f>
        <v>91330</v>
      </c>
      <c r="D15" s="50">
        <f>'[44]Sheet1'!$R$15</f>
        <v>81910</v>
      </c>
      <c r="E15" s="50">
        <f>D15-C15</f>
        <v>-9420</v>
      </c>
      <c r="F15" s="50">
        <f>'[44]Sheet1'!$T$15</f>
        <v>91330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91330</v>
      </c>
      <c r="D18" s="26">
        <f>D15</f>
        <v>81910</v>
      </c>
      <c r="E18" s="26">
        <f>E15</f>
        <v>-9420</v>
      </c>
      <c r="F18" s="26">
        <f>F15</f>
        <v>91330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'[44]Sheet1'!$N$18</f>
        <v>44761</v>
      </c>
      <c r="D21" s="25">
        <f>'[44]Sheet1'!$R$18</f>
        <v>40144</v>
      </c>
      <c r="E21" s="25">
        <f>D21-C21</f>
        <v>-4617</v>
      </c>
      <c r="F21" s="25">
        <f>'[44]Sheet1'!$T$18</f>
        <v>44761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'[44]Sheet1'!$N$19</f>
        <v>4136</v>
      </c>
      <c r="D22" s="25">
        <f>'[44]Sheet1'!$R$19</f>
        <v>3710</v>
      </c>
      <c r="E22" s="25">
        <f>D22-C22</f>
        <v>-426</v>
      </c>
      <c r="F22" s="25">
        <f>'[44]Sheet1'!$T$19</f>
        <v>4136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'[44]Sheet1'!$N$20</f>
        <v>9212</v>
      </c>
      <c r="D23" s="25">
        <f>'[44]Sheet1'!$R$20</f>
        <v>8262</v>
      </c>
      <c r="E23" s="25">
        <f>D23-C23</f>
        <v>-950</v>
      </c>
      <c r="F23" s="25">
        <f>'[44]Sheet1'!$T$20</f>
        <v>9212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'[44]Sheet1'!$K$22</f>
        <v>14741</v>
      </c>
      <c r="D24" s="25">
        <f>'[44]Sheet1'!$R$22</f>
        <v>13220</v>
      </c>
      <c r="E24" s="25">
        <f>D24-C24</f>
        <v>-1521</v>
      </c>
      <c r="F24" s="25">
        <f>'[44]Sheet1'!$T$22</f>
        <v>21722</v>
      </c>
      <c r="G24" s="25">
        <f>C24-F24</f>
        <v>-6981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'[44]Sheet1'!$N$26</f>
        <v>82163</v>
      </c>
      <c r="D27" s="25">
        <f>'[44]Sheet1'!$R$26</f>
        <v>73688</v>
      </c>
      <c r="E27" s="25">
        <f>D27-C27</f>
        <v>-8475</v>
      </c>
      <c r="F27" s="25">
        <f>'[44]Sheet1'!$T$26</f>
        <v>82163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'[44]Sheet1'!$N$41+'[44]Sheet1'!$N$42</f>
        <v>13731</v>
      </c>
      <c r="D28" s="25">
        <f>'[44]Sheet1'!$R$41+'[44]Sheet1'!$R$42</f>
        <v>12316</v>
      </c>
      <c r="E28" s="25">
        <f>D28-C28</f>
        <v>-1415</v>
      </c>
      <c r="F28" s="25">
        <f>'[44]Sheet1'!$T$41+'[44]Sheet1'!$T$42</f>
        <v>13731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168744</v>
      </c>
      <c r="D29" s="26">
        <f>SUM(D20:D28)</f>
        <v>151340</v>
      </c>
      <c r="E29" s="26">
        <f>SUM(E20:E28)</f>
        <v>-17404</v>
      </c>
      <c r="F29" s="26">
        <f>SUM(F20:F28)</f>
        <v>175725</v>
      </c>
      <c r="G29" s="26">
        <f>SUM(G20:G28)</f>
        <v>-6981</v>
      </c>
      <c r="H29" s="62"/>
      <c r="I29" s="62"/>
    </row>
    <row r="30" spans="2:9" ht="13.5" thickBot="1">
      <c r="B30" s="7" t="s">
        <v>15</v>
      </c>
      <c r="C30" s="26">
        <f>C18+C29</f>
        <v>260074</v>
      </c>
      <c r="D30" s="26">
        <f>D18+D29</f>
        <v>233250</v>
      </c>
      <c r="E30" s="26">
        <f>E18+E29</f>
        <v>-26824</v>
      </c>
      <c r="F30" s="26">
        <f>F18+F29</f>
        <v>267055</v>
      </c>
      <c r="G30" s="26">
        <f>G18+G29</f>
        <v>-6981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'[44]Sheet1'!$N$12</f>
        <v>203300</v>
      </c>
      <c r="D35" s="28">
        <f>'[44]Sheet1'!$R$12</f>
        <v>182330</v>
      </c>
      <c r="E35" s="28">
        <f>D35-C35</f>
        <v>-20970</v>
      </c>
      <c r="F35" s="28">
        <f>'[44]Sheet1'!$U$12-184255</f>
        <v>34776</v>
      </c>
      <c r="G35" s="28">
        <f>C35-F35</f>
        <v>168524</v>
      </c>
      <c r="H35" s="65"/>
      <c r="I35" s="62"/>
    </row>
    <row r="36" spans="2:9" ht="13.5" thickBot="1">
      <c r="B36" s="6" t="s">
        <v>18</v>
      </c>
      <c r="C36" s="29">
        <f>C35</f>
        <v>203300</v>
      </c>
      <c r="D36" s="29">
        <f>D35</f>
        <v>182330</v>
      </c>
      <c r="E36" s="29">
        <f>E35</f>
        <v>-20970</v>
      </c>
      <c r="F36" s="29">
        <f>F35</f>
        <v>34776</v>
      </c>
      <c r="G36" s="29">
        <f>G35</f>
        <v>168524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'[44]Sheet1'!$N$33</f>
        <v>275431</v>
      </c>
      <c r="D41" s="50">
        <f>'[44]Sheet1'!$R$33</f>
        <v>247021</v>
      </c>
      <c r="E41" s="50">
        <f>D41-C41</f>
        <v>-28410</v>
      </c>
      <c r="F41" s="50">
        <f>'[44]Sheet1'!$T$33</f>
        <v>300931</v>
      </c>
      <c r="G41" s="50">
        <f>C41-F41</f>
        <v>-25500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1043230.03-109831.41</f>
        <v>933398.62</v>
      </c>
      <c r="D43" s="50">
        <v>882477.74</v>
      </c>
      <c r="E43" s="50">
        <f>D43-C43</f>
        <v>-50920.880000000005</v>
      </c>
      <c r="F43" s="50">
        <f>C43</f>
        <v>933398.62</v>
      </c>
      <c r="G43" s="50">
        <f>C43-F43</f>
        <v>0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1208829.62</v>
      </c>
      <c r="D45" s="29">
        <f>D41+D43</f>
        <v>1129498.74</v>
      </c>
      <c r="E45" s="29">
        <f>E41+E43</f>
        <v>-79330.88</v>
      </c>
      <c r="F45" s="29">
        <f>F41+F43</f>
        <v>1234329.62</v>
      </c>
      <c r="G45" s="29">
        <f>G41+G43</f>
        <v>-25500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-127124.88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-47794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-79330.88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87</v>
      </c>
      <c r="C53" s="66"/>
      <c r="D53" s="66"/>
      <c r="E53" s="67"/>
      <c r="F53" s="37"/>
      <c r="G53" s="31">
        <f>F55+F56</f>
        <v>-25500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-25500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161543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161543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138363.87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-127124.88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228285.03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-136556.65-285467.91</f>
        <v>-422024.55999999994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1:3" s="11" customFormat="1" ht="12.75">
      <c r="A84" s="37"/>
      <c r="C84" s="21" t="s">
        <v>20</v>
      </c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37">
      <selection activeCell="C44" sqref="C44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74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15.75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-481281.58</v>
      </c>
      <c r="E5" s="14"/>
      <c r="F5" s="14"/>
    </row>
    <row r="6" spans="2:6" ht="15">
      <c r="B6" s="38" t="s">
        <v>55</v>
      </c>
      <c r="C6" s="14"/>
      <c r="D6" s="14"/>
      <c r="E6" s="14"/>
      <c r="F6" s="14"/>
    </row>
    <row r="7" spans="2:6" ht="14.25">
      <c r="B7" s="24" t="s">
        <v>38</v>
      </c>
      <c r="C7" s="16"/>
      <c r="D7" s="16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4.25">
      <c r="B9" s="24"/>
      <c r="C9" s="16"/>
      <c r="D9" s="16"/>
      <c r="E9" s="16"/>
      <c r="F9" s="16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'[5]Sheet1'!$N$15</f>
        <v>134683</v>
      </c>
      <c r="D14" s="50">
        <f>'[5]Sheet1'!$R$15</f>
        <v>133434</v>
      </c>
      <c r="E14" s="50">
        <f>D14-C14</f>
        <v>-1249</v>
      </c>
      <c r="F14" s="50">
        <f>'[5]Sheet1'!$T$15</f>
        <v>134683</v>
      </c>
      <c r="G14" s="71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70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69"/>
      <c r="H16" s="62"/>
      <c r="I16" s="62"/>
    </row>
    <row r="17" spans="2:9" ht="13.5" thickBot="1">
      <c r="B17" s="6" t="s">
        <v>7</v>
      </c>
      <c r="C17" s="26">
        <f>C14</f>
        <v>134683</v>
      </c>
      <c r="D17" s="26">
        <f>D14</f>
        <v>133434</v>
      </c>
      <c r="E17" s="26">
        <f>E14</f>
        <v>-1249</v>
      </c>
      <c r="F17" s="26">
        <f>F14</f>
        <v>134683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70</v>
      </c>
      <c r="C19" s="25" t="str">
        <f>'[5]Sheet1'!$N$17</f>
        <v> </v>
      </c>
      <c r="D19" s="25" t="str">
        <f>'[5]Sheet1'!$R$17</f>
        <v> </v>
      </c>
      <c r="E19" s="25"/>
      <c r="F19" s="25" t="str">
        <f>C19</f>
        <v> </v>
      </c>
      <c r="G19" s="25"/>
      <c r="H19" s="62"/>
      <c r="I19" s="62"/>
    </row>
    <row r="20" spans="2:9" ht="27" customHeight="1" thickBot="1">
      <c r="B20" s="10" t="s">
        <v>9</v>
      </c>
      <c r="C20" s="25">
        <f>'[5]Sheet1'!$N$18</f>
        <v>41392</v>
      </c>
      <c r="D20" s="25">
        <f>'[5]Sheet1'!$R$18</f>
        <v>41008</v>
      </c>
      <c r="E20" s="25">
        <f>D20-C20</f>
        <v>-384</v>
      </c>
      <c r="F20" s="25">
        <f>'[5]Sheet1'!$T$18</f>
        <v>41392</v>
      </c>
      <c r="G20" s="25">
        <f>C20-F20</f>
        <v>0</v>
      </c>
      <c r="H20" s="62"/>
      <c r="I20" s="62"/>
    </row>
    <row r="21" spans="2:9" ht="19.5" customHeight="1" thickBot="1">
      <c r="B21" s="10" t="s">
        <v>10</v>
      </c>
      <c r="C21" s="25">
        <f>'[5]Sheet1'!$N$19</f>
        <v>2739</v>
      </c>
      <c r="D21" s="25">
        <f>'[5]Sheet1'!$R$19</f>
        <v>2714</v>
      </c>
      <c r="E21" s="25">
        <f>D21-C21</f>
        <v>-25</v>
      </c>
      <c r="F21" s="25">
        <f>'[5]Sheet1'!$T$19</f>
        <v>2739</v>
      </c>
      <c r="G21" s="25">
        <f>C21-F21</f>
        <v>0</v>
      </c>
      <c r="H21" s="62"/>
      <c r="I21" s="62"/>
    </row>
    <row r="22" spans="2:9" ht="21" customHeight="1" thickBot="1">
      <c r="B22" s="10" t="s">
        <v>11</v>
      </c>
      <c r="C22" s="25">
        <f>'[5]Sheet1'!$N$20</f>
        <v>12252</v>
      </c>
      <c r="D22" s="25">
        <f>'[5]Sheet1'!$R$20</f>
        <v>12139</v>
      </c>
      <c r="E22" s="25">
        <f>D22-C22</f>
        <v>-113</v>
      </c>
      <c r="F22" s="25">
        <f>'[5]Sheet1'!$T$20</f>
        <v>12252</v>
      </c>
      <c r="G22" s="25">
        <f>C22-F22</f>
        <v>0</v>
      </c>
      <c r="H22" s="62"/>
      <c r="I22" s="62"/>
    </row>
    <row r="23" spans="2:9" ht="25.5" customHeight="1" thickBot="1">
      <c r="B23" s="10" t="s">
        <v>12</v>
      </c>
      <c r="C23" s="25">
        <f>'[5]Sheet1'!$N$22+'[5]Sheet1'!$N$23</f>
        <v>47124</v>
      </c>
      <c r="D23" s="25">
        <f>'[5]Sheet1'!$R$22+'[5]Sheet1'!$R$23</f>
        <v>46688</v>
      </c>
      <c r="E23" s="25">
        <f>D23-C23</f>
        <v>-436</v>
      </c>
      <c r="F23" s="25">
        <f>'[5]Sheet1'!$T$22+'[5]Sheet1'!$T$23</f>
        <v>63125</v>
      </c>
      <c r="G23" s="25">
        <f>C23-F23</f>
        <v>-16001</v>
      </c>
      <c r="H23" s="62"/>
      <c r="I23" s="62"/>
    </row>
    <row r="24" spans="2:9" ht="17.25" customHeight="1" thickBot="1">
      <c r="B24" s="10" t="s">
        <v>60</v>
      </c>
      <c r="C24" s="25">
        <f>'[5]Sheet1'!$N$25</f>
        <v>182643</v>
      </c>
      <c r="D24" s="25">
        <f>'[5]Sheet1'!$R$25</f>
        <v>180949</v>
      </c>
      <c r="E24" s="25">
        <f>D24-C24</f>
        <v>-1694</v>
      </c>
      <c r="F24" s="25">
        <f>'[5]Sheet1'!$T$25</f>
        <v>182643</v>
      </c>
      <c r="G24" s="25">
        <f>C24-F24</f>
        <v>0</v>
      </c>
      <c r="H24" s="62"/>
      <c r="I24" s="62"/>
    </row>
    <row r="25" spans="2:9" ht="17.25" customHeight="1" thickBot="1">
      <c r="B25" s="10" t="s">
        <v>61</v>
      </c>
      <c r="C25" s="25">
        <f>'[5]Sheet1'!$N$24</f>
        <v>56065</v>
      </c>
      <c r="D25" s="25">
        <f>'[5]Sheet1'!$R$24</f>
        <v>55545</v>
      </c>
      <c r="E25" s="25">
        <f>D25-C25</f>
        <v>-520</v>
      </c>
      <c r="F25" s="25">
        <f>C25</f>
        <v>56065</v>
      </c>
      <c r="G25" s="25">
        <f>C25-F25</f>
        <v>0</v>
      </c>
      <c r="H25" s="62"/>
      <c r="I25" s="62"/>
    </row>
    <row r="26" spans="2:9" ht="25.5" customHeight="1" thickBot="1">
      <c r="B26" s="10" t="s">
        <v>13</v>
      </c>
      <c r="C26" s="25">
        <f>'[5]Sheet1'!$N$26</f>
        <v>116319</v>
      </c>
      <c r="D26" s="25">
        <f>'[5]Sheet1'!$R$26</f>
        <v>115239</v>
      </c>
      <c r="E26" s="25">
        <f>D26-C26</f>
        <v>-1080</v>
      </c>
      <c r="F26" s="25">
        <f>'[5]Sheet1'!$T$26</f>
        <v>116319</v>
      </c>
      <c r="G26" s="25">
        <f>C26-F26</f>
        <v>0</v>
      </c>
      <c r="H26" s="62"/>
      <c r="I26" s="62"/>
    </row>
    <row r="27" spans="2:9" ht="25.5" customHeight="1" thickBot="1">
      <c r="B27" s="10" t="s">
        <v>14</v>
      </c>
      <c r="C27" s="25">
        <f>'[5]Sheet1'!$N$41+'[5]Sheet1'!$N$42</f>
        <v>12120</v>
      </c>
      <c r="D27" s="25">
        <f>'[5]Sheet1'!$R$41+'[5]Sheet1'!$R$42</f>
        <v>12007</v>
      </c>
      <c r="E27" s="25">
        <f>D27-C27</f>
        <v>-113</v>
      </c>
      <c r="F27" s="25">
        <f>'[5]Sheet1'!$T$41+'[5]Sheet1'!$T$42</f>
        <v>12120</v>
      </c>
      <c r="G27" s="25">
        <f>C27-F27</f>
        <v>0</v>
      </c>
      <c r="H27" s="62"/>
      <c r="I27" s="62"/>
    </row>
    <row r="28" spans="2:9" ht="13.5" thickBot="1">
      <c r="B28" s="6" t="s">
        <v>7</v>
      </c>
      <c r="C28" s="26">
        <f>SUM(C19:C27)</f>
        <v>470654</v>
      </c>
      <c r="D28" s="26">
        <f>SUM(D19:D27)</f>
        <v>466289</v>
      </c>
      <c r="E28" s="26">
        <f>SUM(E19:E27)</f>
        <v>-4365</v>
      </c>
      <c r="F28" s="26">
        <f>SUM(F19:F27)</f>
        <v>486655</v>
      </c>
      <c r="G28" s="26">
        <f>SUM(G19:G27)</f>
        <v>-16001</v>
      </c>
      <c r="H28" s="62"/>
      <c r="I28" s="62"/>
    </row>
    <row r="29" spans="2:9" ht="13.5" thickBot="1">
      <c r="B29" s="7" t="s">
        <v>15</v>
      </c>
      <c r="C29" s="26">
        <f>C17+C28</f>
        <v>605337</v>
      </c>
      <c r="D29" s="26">
        <f>D17+D28</f>
        <v>599723</v>
      </c>
      <c r="E29" s="26">
        <f>E17+E28</f>
        <v>-5614</v>
      </c>
      <c r="F29" s="26">
        <f>F17+F28</f>
        <v>621338</v>
      </c>
      <c r="G29" s="26">
        <f>G17+G28</f>
        <v>-16001</v>
      </c>
      <c r="H29" s="62"/>
      <c r="I29" s="62"/>
    </row>
    <row r="30" spans="2:9" ht="12.75">
      <c r="B30" s="11"/>
      <c r="C30" s="62"/>
      <c r="D30" s="62"/>
      <c r="E30" s="62"/>
      <c r="F30" s="62"/>
      <c r="G30" s="62"/>
      <c r="H30" s="62"/>
      <c r="I30" s="62"/>
    </row>
    <row r="31" spans="2:9" ht="13.5" thickBot="1">
      <c r="B31" s="18" t="s">
        <v>73</v>
      </c>
      <c r="C31" s="62"/>
      <c r="D31" s="62"/>
      <c r="E31" s="62"/>
      <c r="F31" s="62"/>
      <c r="G31" s="62"/>
      <c r="H31" s="62"/>
      <c r="I31" s="62"/>
    </row>
    <row r="32" spans="2:9" ht="105" customHeight="1" thickBot="1">
      <c r="B32" s="22" t="s">
        <v>3</v>
      </c>
      <c r="C32" s="22" t="s">
        <v>28</v>
      </c>
      <c r="D32" s="23" t="s">
        <v>23</v>
      </c>
      <c r="E32" s="23" t="s">
        <v>31</v>
      </c>
      <c r="F32" s="22" t="s">
        <v>16</v>
      </c>
      <c r="G32" s="22" t="s">
        <v>29</v>
      </c>
      <c r="H32" s="62"/>
      <c r="I32" s="62"/>
    </row>
    <row r="33" spans="2:9" ht="13.5" customHeight="1" thickBot="1">
      <c r="B33" s="43">
        <v>1</v>
      </c>
      <c r="C33" s="44">
        <v>2</v>
      </c>
      <c r="D33" s="44">
        <v>3</v>
      </c>
      <c r="E33" s="44" t="s">
        <v>42</v>
      </c>
      <c r="F33" s="44">
        <v>5</v>
      </c>
      <c r="G33" s="45" t="s">
        <v>43</v>
      </c>
      <c r="H33" s="62"/>
      <c r="I33" s="62"/>
    </row>
    <row r="34" spans="2:9" ht="38.25" customHeight="1" thickBot="1">
      <c r="B34" s="10" t="s">
        <v>17</v>
      </c>
      <c r="C34" s="28">
        <f>'[5]Sheet1'!$N$12</f>
        <v>259131</v>
      </c>
      <c r="D34" s="28">
        <f>'[5]Sheet1'!$R$12</f>
        <v>256727</v>
      </c>
      <c r="E34" s="28">
        <f>D34-C34</f>
        <v>-2404</v>
      </c>
      <c r="F34" s="74">
        <f>'[5]Sheet1'!$U$12-194410</f>
        <v>156138</v>
      </c>
      <c r="G34" s="28">
        <f>C34-F34</f>
        <v>102993</v>
      </c>
      <c r="H34" s="65"/>
      <c r="I34" s="62"/>
    </row>
    <row r="35" spans="2:9" ht="13.5" thickBot="1">
      <c r="B35" s="6" t="s">
        <v>18</v>
      </c>
      <c r="C35" s="29">
        <f>C34</f>
        <v>259131</v>
      </c>
      <c r="D35" s="29">
        <f>D34</f>
        <v>256727</v>
      </c>
      <c r="E35" s="29">
        <f>E34</f>
        <v>-2404</v>
      </c>
      <c r="F35" s="29">
        <f>F34</f>
        <v>156138</v>
      </c>
      <c r="G35" s="29">
        <f>G34</f>
        <v>102993</v>
      </c>
      <c r="H35" s="62"/>
      <c r="I35" s="62"/>
    </row>
    <row r="36" spans="2:9" ht="12.75">
      <c r="B36" s="13"/>
      <c r="C36" s="62"/>
      <c r="D36" s="62"/>
      <c r="E36" s="62"/>
      <c r="F36" s="62"/>
      <c r="G36" s="62"/>
      <c r="H36" s="62"/>
      <c r="I36" s="62"/>
    </row>
    <row r="37" spans="2:9" ht="13.5" thickBot="1">
      <c r="B37" s="18" t="s">
        <v>30</v>
      </c>
      <c r="C37" s="62"/>
      <c r="D37" s="62"/>
      <c r="E37" s="62"/>
      <c r="F37" s="62"/>
      <c r="G37" s="62"/>
      <c r="H37" s="62"/>
      <c r="I37" s="62"/>
    </row>
    <row r="38" spans="2:9" ht="103.5" customHeight="1" thickBot="1">
      <c r="B38" s="22" t="s">
        <v>3</v>
      </c>
      <c r="C38" s="5" t="s">
        <v>25</v>
      </c>
      <c r="D38" s="8" t="s">
        <v>26</v>
      </c>
      <c r="E38" s="23" t="s">
        <v>31</v>
      </c>
      <c r="F38" s="5" t="s">
        <v>27</v>
      </c>
      <c r="G38" s="22" t="s">
        <v>29</v>
      </c>
      <c r="H38" s="62"/>
      <c r="I38" s="62"/>
    </row>
    <row r="39" spans="2:9" ht="13.5" customHeight="1" thickBot="1">
      <c r="B39" s="43">
        <v>1</v>
      </c>
      <c r="C39" s="44">
        <v>2</v>
      </c>
      <c r="D39" s="44">
        <v>3</v>
      </c>
      <c r="E39" s="44" t="s">
        <v>42</v>
      </c>
      <c r="F39" s="44">
        <v>5</v>
      </c>
      <c r="G39" s="45" t="s">
        <v>43</v>
      </c>
      <c r="H39" s="62"/>
      <c r="I39" s="62"/>
    </row>
    <row r="40" spans="2:9" ht="16.5" customHeight="1">
      <c r="B40" s="54" t="s">
        <v>69</v>
      </c>
      <c r="C40" s="50">
        <f>'[5]Sheet1'!$N$33</f>
        <v>369265</v>
      </c>
      <c r="D40" s="50">
        <f>'[5]Sheet1'!$R$33</f>
        <v>365839</v>
      </c>
      <c r="E40" s="50">
        <f>D40-C40</f>
        <v>-3426</v>
      </c>
      <c r="F40" s="50">
        <f>'[5]Sheet1'!$T$33</f>
        <v>413152</v>
      </c>
      <c r="G40" s="50">
        <f>C40-F40</f>
        <v>-43887</v>
      </c>
      <c r="H40" s="62"/>
      <c r="I40" s="62"/>
    </row>
    <row r="41" spans="2:9" ht="24" customHeight="1" thickBot="1">
      <c r="B41" s="55"/>
      <c r="C41" s="51"/>
      <c r="D41" s="51"/>
      <c r="E41" s="51"/>
      <c r="F41" s="51"/>
      <c r="G41" s="51"/>
      <c r="H41" s="62"/>
      <c r="I41" s="62"/>
    </row>
    <row r="42" spans="2:9" ht="17.25" customHeight="1">
      <c r="B42" s="54" t="s">
        <v>44</v>
      </c>
      <c r="C42" s="50">
        <f>1441866.56-86308.48</f>
        <v>1355558.08</v>
      </c>
      <c r="D42" s="50">
        <v>1351327.5</v>
      </c>
      <c r="E42" s="50">
        <f>D42-C42</f>
        <v>-4230.5800000000745</v>
      </c>
      <c r="F42" s="50">
        <f>'[5]Sheet1'!$T$36</f>
        <v>1441867</v>
      </c>
      <c r="G42" s="50">
        <f>C42-F42</f>
        <v>-86308.91999999993</v>
      </c>
      <c r="H42" s="62"/>
      <c r="I42" s="62"/>
    </row>
    <row r="43" spans="2:9" ht="13.5" thickBot="1">
      <c r="B43" s="55"/>
      <c r="C43" s="51"/>
      <c r="D43" s="51"/>
      <c r="E43" s="51"/>
      <c r="F43" s="51"/>
      <c r="G43" s="51"/>
      <c r="H43" s="62"/>
      <c r="I43" s="62"/>
    </row>
    <row r="44" spans="2:9" ht="13.5" thickBot="1">
      <c r="B44" s="7" t="s">
        <v>19</v>
      </c>
      <c r="C44" s="29">
        <f>C40+C42</f>
        <v>1724823.08</v>
      </c>
      <c r="D44" s="29">
        <f>D40+D42</f>
        <v>1717166.5</v>
      </c>
      <c r="E44" s="29">
        <f>E40+E42</f>
        <v>-7656.5800000000745</v>
      </c>
      <c r="F44" s="29">
        <f>F40+F42</f>
        <v>1855019</v>
      </c>
      <c r="G44" s="29">
        <f>G40+G42</f>
        <v>-130195.91999999993</v>
      </c>
      <c r="H44" s="62"/>
      <c r="I44" s="62"/>
    </row>
    <row r="45" spans="2:9" ht="12.75">
      <c r="B45" s="11"/>
      <c r="C45" s="62"/>
      <c r="D45" s="62"/>
      <c r="E45" s="62"/>
      <c r="F45" s="62"/>
      <c r="G45" s="62"/>
      <c r="H45" s="62"/>
      <c r="I45" s="62"/>
    </row>
    <row r="46" spans="2:9" ht="12.75">
      <c r="B46" s="20" t="s">
        <v>62</v>
      </c>
      <c r="C46" s="62"/>
      <c r="D46" s="62"/>
      <c r="E46" s="62"/>
      <c r="F46" s="62"/>
      <c r="G46" s="31">
        <f>F48+F49</f>
        <v>-15674.580000000075</v>
      </c>
      <c r="H46" s="62"/>
      <c r="I46" s="62"/>
    </row>
    <row r="47" spans="2:9" ht="12.75">
      <c r="B47" s="30" t="s">
        <v>32</v>
      </c>
      <c r="C47" s="65"/>
      <c r="D47" s="62"/>
      <c r="E47" s="62"/>
      <c r="F47" s="62"/>
      <c r="G47" s="62"/>
      <c r="H47" s="62"/>
      <c r="I47" s="62"/>
    </row>
    <row r="48" spans="2:9" ht="12.75">
      <c r="B48" s="38" t="s">
        <v>67</v>
      </c>
      <c r="C48" s="62"/>
      <c r="D48" s="62"/>
      <c r="E48" s="62"/>
      <c r="F48" s="32">
        <f>(E29+E35)</f>
        <v>-8018</v>
      </c>
      <c r="G48" s="62"/>
      <c r="H48" s="62"/>
      <c r="I48" s="62"/>
    </row>
    <row r="49" spans="2:9" ht="12.75">
      <c r="B49" s="38" t="s">
        <v>64</v>
      </c>
      <c r="C49" s="62"/>
      <c r="D49" s="62"/>
      <c r="E49" s="62"/>
      <c r="F49" s="32">
        <f>(E44)</f>
        <v>-7656.5800000000745</v>
      </c>
      <c r="G49" s="62"/>
      <c r="H49" s="62"/>
      <c r="I49" s="62"/>
    </row>
    <row r="50" spans="2:9" ht="12.75">
      <c r="B50" s="24" t="s">
        <v>72</v>
      </c>
      <c r="C50" s="62"/>
      <c r="D50" s="62"/>
      <c r="E50" s="62"/>
      <c r="F50" s="32"/>
      <c r="G50" s="62"/>
      <c r="H50" s="62"/>
      <c r="I50" s="62"/>
    </row>
    <row r="51" spans="2:9" ht="12.75">
      <c r="B51" s="24" t="s">
        <v>53</v>
      </c>
      <c r="C51" s="62"/>
      <c r="D51" s="62"/>
      <c r="E51" s="62"/>
      <c r="F51" s="32"/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35</v>
      </c>
      <c r="C53" s="66"/>
      <c r="D53" s="66"/>
      <c r="E53" s="67"/>
      <c r="F53" s="37"/>
      <c r="G53" s="31">
        <f>F55+F56</f>
        <v>-130195.91999999993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IF((G29+G35)&lt;=0,G29+G35,0)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IF(G44&lt;=0,G44,0)</f>
        <v>-130195.91999999993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48</v>
      </c>
      <c r="C58" s="66"/>
      <c r="D58" s="66"/>
      <c r="E58" s="67"/>
      <c r="F58" s="37"/>
      <c r="G58" s="31">
        <f>F60+F61</f>
        <v>86992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IF((G29+G35)&gt;0,G29+G35,0)</f>
        <v>86992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IF(G44&gt;0,G44,0)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1220.87+400+700+2400*2</f>
        <v>7120.87</v>
      </c>
      <c r="H64" s="19"/>
      <c r="I64" s="19"/>
    </row>
    <row r="65" spans="2:9" ht="12.75">
      <c r="B65" s="11"/>
      <c r="C65" s="19"/>
      <c r="D65" s="19"/>
      <c r="E65" s="48"/>
      <c r="F65" s="37"/>
      <c r="G65" s="41"/>
      <c r="H65" s="19"/>
      <c r="I65" s="19"/>
    </row>
    <row r="66" spans="2:9" ht="15.75">
      <c r="B66" s="39" t="s">
        <v>49</v>
      </c>
      <c r="C66" s="62"/>
      <c r="D66" s="62"/>
      <c r="E66" s="62"/>
      <c r="F66" s="40">
        <f>G53+G58+G64</f>
        <v>-36083.04999999992</v>
      </c>
      <c r="G66" s="40" t="s">
        <v>40</v>
      </c>
      <c r="H66" s="62"/>
      <c r="I66" s="62"/>
    </row>
    <row r="67" spans="2:9" ht="12.75">
      <c r="B67" s="24" t="s">
        <v>38</v>
      </c>
      <c r="C67" s="62"/>
      <c r="D67" s="62"/>
      <c r="E67" s="62"/>
      <c r="F67" s="32"/>
      <c r="G67" s="62"/>
      <c r="H67" s="62"/>
      <c r="I67" s="62"/>
    </row>
    <row r="68" spans="2:9" ht="12.75">
      <c r="B68" s="24" t="s">
        <v>39</v>
      </c>
      <c r="C68" s="62"/>
      <c r="D68" s="62"/>
      <c r="E68" s="62"/>
      <c r="F68" s="32"/>
      <c r="G68" s="62"/>
      <c r="H68" s="62"/>
      <c r="I68" s="62"/>
    </row>
    <row r="69" spans="2:9" ht="12.75">
      <c r="B69" s="24"/>
      <c r="C69" s="62"/>
      <c r="D69" s="62"/>
      <c r="E69" s="62"/>
      <c r="F69" s="32"/>
      <c r="G69" s="62"/>
      <c r="H69" s="62"/>
      <c r="I69" s="62"/>
    </row>
    <row r="70" spans="2:9" ht="15.75">
      <c r="B70" s="39" t="s">
        <v>50</v>
      </c>
      <c r="C70" s="19"/>
      <c r="D70" s="19"/>
      <c r="E70" s="19"/>
      <c r="F70" s="40">
        <f>G46</f>
        <v>-15674.580000000075</v>
      </c>
      <c r="G70" s="40" t="s">
        <v>40</v>
      </c>
      <c r="H70" s="19"/>
      <c r="I70" s="19"/>
    </row>
    <row r="71" spans="2:9" ht="12.75">
      <c r="B71" s="24" t="s">
        <v>52</v>
      </c>
      <c r="C71" s="19"/>
      <c r="D71" s="19"/>
      <c r="E71" s="19"/>
      <c r="F71" s="32"/>
      <c r="G71" s="19"/>
      <c r="H71" s="19"/>
      <c r="I71" s="19"/>
    </row>
    <row r="72" spans="2:9" ht="12.75">
      <c r="B72" s="24" t="s">
        <v>53</v>
      </c>
      <c r="C72" s="19"/>
      <c r="D72" s="19"/>
      <c r="E72" s="19"/>
      <c r="F72" s="32"/>
      <c r="G72" s="19"/>
      <c r="H72" s="19"/>
      <c r="I72" s="19"/>
    </row>
    <row r="73" spans="2:9" ht="12.75">
      <c r="B73" s="13"/>
      <c r="C73" s="19"/>
      <c r="D73" s="19"/>
      <c r="E73" s="19"/>
      <c r="F73" s="19"/>
      <c r="G73" s="19"/>
      <c r="H73" s="19"/>
      <c r="I73" s="19"/>
    </row>
    <row r="74" spans="2:9" ht="15.75">
      <c r="B74" s="39" t="s">
        <v>56</v>
      </c>
      <c r="C74" s="19"/>
      <c r="D74" s="19"/>
      <c r="E74" s="19"/>
      <c r="F74" s="40">
        <f>D5+F66</f>
        <v>-517364.62999999995</v>
      </c>
      <c r="G74" s="40" t="s">
        <v>40</v>
      </c>
      <c r="H74" s="19"/>
      <c r="I74" s="19"/>
    </row>
    <row r="75" spans="2:9" ht="12.75">
      <c r="B75" s="24" t="s">
        <v>38</v>
      </c>
      <c r="C75" s="19"/>
      <c r="D75" s="19"/>
      <c r="E75" s="19"/>
      <c r="F75" s="32"/>
      <c r="G75" s="19"/>
      <c r="H75" s="19"/>
      <c r="I75" s="19"/>
    </row>
    <row r="76" spans="2:9" ht="12.75">
      <c r="B76" s="24" t="s">
        <v>39</v>
      </c>
      <c r="C76" s="19"/>
      <c r="D76" s="19"/>
      <c r="E76" s="19"/>
      <c r="F76" s="32"/>
      <c r="G76" s="19"/>
      <c r="H76" s="19"/>
      <c r="I76" s="19"/>
    </row>
    <row r="77" spans="2:9" ht="12.75">
      <c r="B77" s="38"/>
      <c r="C77" s="19"/>
      <c r="D77" s="19"/>
      <c r="E77" s="19"/>
      <c r="F77" s="32"/>
      <c r="G77" s="19"/>
      <c r="H77" s="19"/>
      <c r="I77" s="19"/>
    </row>
    <row r="78" spans="2:9" ht="15.75">
      <c r="B78" s="39" t="s">
        <v>51</v>
      </c>
      <c r="C78" s="19"/>
      <c r="D78" s="19"/>
      <c r="E78" s="19"/>
      <c r="F78" s="40">
        <f>-97497.53-224331.81</f>
        <v>-321829.33999999997</v>
      </c>
      <c r="G78" s="40" t="s">
        <v>40</v>
      </c>
      <c r="H78" s="19"/>
      <c r="I78" s="19"/>
    </row>
    <row r="79" spans="2:9" ht="12.75">
      <c r="B79" s="24" t="s">
        <v>52</v>
      </c>
      <c r="C79" s="19"/>
      <c r="D79" s="19"/>
      <c r="E79" s="19"/>
      <c r="F79" s="32"/>
      <c r="G79" s="19"/>
      <c r="H79" s="19"/>
      <c r="I79" s="19"/>
    </row>
    <row r="80" spans="2:9" ht="12.75">
      <c r="B80" s="24" t="s">
        <v>53</v>
      </c>
      <c r="C80" s="19"/>
      <c r="D80" s="19"/>
      <c r="E80" s="19"/>
      <c r="F80" s="32"/>
      <c r="G80" s="19"/>
      <c r="H80" s="19"/>
      <c r="I80" s="19"/>
    </row>
    <row r="81" spans="2:9" ht="12.75">
      <c r="B81" s="24"/>
      <c r="C81" s="62"/>
      <c r="D81" s="62"/>
      <c r="E81" s="62"/>
      <c r="F81" s="32"/>
      <c r="G81" s="62"/>
      <c r="H81" s="62"/>
      <c r="I81" s="62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21" t="s">
        <v>20</v>
      </c>
      <c r="D83" s="11"/>
      <c r="E83" s="62"/>
      <c r="F83" s="62"/>
      <c r="G83" s="62"/>
      <c r="H83" s="62"/>
      <c r="I83" s="62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2:9" ht="12.75">
      <c r="B86" s="11"/>
      <c r="C86" s="62"/>
      <c r="D86" s="62"/>
      <c r="E86" s="62"/>
      <c r="F86" s="62"/>
      <c r="G86" s="62"/>
      <c r="H86" s="62"/>
      <c r="I86" s="62"/>
    </row>
    <row r="87" s="11" customFormat="1" ht="12.75">
      <c r="A87" s="37"/>
    </row>
    <row r="88" spans="2:9" ht="12.75">
      <c r="B88" s="11"/>
      <c r="C88" s="62"/>
      <c r="D88" s="62"/>
      <c r="E88" s="62"/>
      <c r="F88" s="62"/>
      <c r="G88" s="62"/>
      <c r="H88" s="62"/>
      <c r="I88" s="62"/>
    </row>
    <row r="89" spans="2:6" ht="15">
      <c r="B89" s="17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  <row r="94" spans="2:6" ht="14.25">
      <c r="B94" s="68"/>
      <c r="C94" s="68"/>
      <c r="D94" s="68"/>
      <c r="E94" s="68"/>
      <c r="F94" s="68"/>
    </row>
    <row r="95" spans="2:6" ht="14.25">
      <c r="B95" s="68"/>
      <c r="C95" s="68"/>
      <c r="D95" s="68"/>
      <c r="E95" s="68"/>
      <c r="F95" s="68"/>
    </row>
    <row r="96" spans="2:6" ht="14.25">
      <c r="B96" s="68"/>
      <c r="C96" s="68"/>
      <c r="D96" s="68"/>
      <c r="E96" s="68"/>
      <c r="F96" s="68"/>
    </row>
  </sheetData>
  <sheetProtection/>
  <mergeCells count="19">
    <mergeCell ref="G42:G43"/>
    <mergeCell ref="F40:F41"/>
    <mergeCell ref="G14:G16"/>
    <mergeCell ref="C42:C43"/>
    <mergeCell ref="D42:D43"/>
    <mergeCell ref="F42:F43"/>
    <mergeCell ref="C40:C41"/>
    <mergeCell ref="D40:D41"/>
    <mergeCell ref="E42:E43"/>
    <mergeCell ref="B42:B43"/>
    <mergeCell ref="B13:G13"/>
    <mergeCell ref="B18:G18"/>
    <mergeCell ref="E40:E41"/>
    <mergeCell ref="C14:C16"/>
    <mergeCell ref="D14:D16"/>
    <mergeCell ref="E14:E16"/>
    <mergeCell ref="F14:F16"/>
    <mergeCell ref="B40:B41"/>
    <mergeCell ref="G40:G4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37">
      <selection activeCell="C45" sqref="C45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9.2812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75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9.75" customHeight="1">
      <c r="B4" s="12"/>
      <c r="C4" s="72"/>
      <c r="D4" s="72"/>
      <c r="E4" s="72"/>
      <c r="F4" s="72"/>
    </row>
    <row r="5" spans="2:6" ht="12" customHeight="1">
      <c r="B5" s="12"/>
      <c r="C5" s="72"/>
      <c r="D5" s="72"/>
      <c r="E5" s="72"/>
      <c r="F5" s="72"/>
    </row>
    <row r="6" spans="2:6" ht="15.75">
      <c r="B6" s="46" t="s">
        <v>54</v>
      </c>
      <c r="C6" s="14"/>
      <c r="D6" s="47">
        <v>-192707.46</v>
      </c>
      <c r="E6" s="14"/>
      <c r="F6" s="14"/>
    </row>
    <row r="7" spans="2:6" ht="15">
      <c r="B7" s="38" t="s">
        <v>55</v>
      </c>
      <c r="C7" s="14"/>
      <c r="D7" s="63"/>
      <c r="E7" s="14"/>
      <c r="F7" s="14"/>
    </row>
    <row r="8" spans="2:6" ht="14.25">
      <c r="B8" s="24" t="s">
        <v>38</v>
      </c>
      <c r="C8" s="16"/>
      <c r="D8" s="64"/>
      <c r="E8" s="16"/>
      <c r="F8" s="16"/>
    </row>
    <row r="9" spans="2:6" ht="14.25">
      <c r="B9" s="24" t="s">
        <v>39</v>
      </c>
      <c r="C9" s="16"/>
      <c r="D9" s="16"/>
      <c r="E9" s="16"/>
      <c r="F9" s="16"/>
    </row>
    <row r="10" spans="2:6" ht="14.25">
      <c r="B10" s="24"/>
      <c r="C10" s="16"/>
      <c r="D10" s="16"/>
      <c r="E10" s="16"/>
      <c r="F10" s="16"/>
    </row>
    <row r="11" spans="2:9" ht="13.5" thickBot="1">
      <c r="B11" s="18" t="s">
        <v>2</v>
      </c>
      <c r="C11" s="62"/>
      <c r="D11" s="62"/>
      <c r="E11" s="62"/>
      <c r="F11" s="62"/>
      <c r="G11" s="62"/>
      <c r="H11" s="62"/>
      <c r="I11" s="62"/>
    </row>
    <row r="12" spans="2:9" ht="103.5" customHeight="1" thickBot="1">
      <c r="B12" s="4" t="s">
        <v>3</v>
      </c>
      <c r="C12" s="4" t="s">
        <v>28</v>
      </c>
      <c r="D12" s="5" t="s">
        <v>21</v>
      </c>
      <c r="E12" s="5" t="s">
        <v>31</v>
      </c>
      <c r="F12" s="4" t="s">
        <v>4</v>
      </c>
      <c r="G12" s="4" t="s">
        <v>29</v>
      </c>
      <c r="H12" s="62"/>
      <c r="I12" s="62"/>
    </row>
    <row r="13" spans="2:9" ht="16.5" customHeight="1" thickBot="1">
      <c r="B13" s="43">
        <v>1</v>
      </c>
      <c r="C13" s="44">
        <v>2</v>
      </c>
      <c r="D13" s="44">
        <v>3</v>
      </c>
      <c r="E13" s="44" t="s">
        <v>42</v>
      </c>
      <c r="F13" s="44">
        <v>5</v>
      </c>
      <c r="G13" s="45" t="s">
        <v>43</v>
      </c>
      <c r="H13" s="62"/>
      <c r="I13" s="62"/>
    </row>
    <row r="14" spans="2:9" ht="13.5" thickBot="1">
      <c r="B14" s="56" t="s">
        <v>24</v>
      </c>
      <c r="C14" s="57"/>
      <c r="D14" s="57"/>
      <c r="E14" s="57"/>
      <c r="F14" s="57"/>
      <c r="G14" s="58"/>
      <c r="H14" s="62"/>
      <c r="I14" s="62"/>
    </row>
    <row r="15" spans="2:9" ht="38.25" customHeight="1">
      <c r="B15" s="9" t="s">
        <v>5</v>
      </c>
      <c r="C15" s="50">
        <f>'[6]Sheet1'!$N$15</f>
        <v>252091</v>
      </c>
      <c r="D15" s="50">
        <f>'[6]Sheet1'!$R$15</f>
        <v>236126</v>
      </c>
      <c r="E15" s="50">
        <f>D15-C15</f>
        <v>-15965</v>
      </c>
      <c r="F15" s="50">
        <f>'[6]Sheet1'!$T$15</f>
        <v>252091</v>
      </c>
      <c r="G15" s="50">
        <f>C15-F15</f>
        <v>0</v>
      </c>
      <c r="H15" s="62"/>
      <c r="I15" s="65"/>
    </row>
    <row r="16" spans="2:9" ht="26.25" customHeight="1">
      <c r="B16" s="9" t="s">
        <v>22</v>
      </c>
      <c r="C16" s="52"/>
      <c r="D16" s="52"/>
      <c r="E16" s="52"/>
      <c r="F16" s="52"/>
      <c r="G16" s="52"/>
      <c r="H16" s="62"/>
      <c r="I16" s="62"/>
    </row>
    <row r="17" spans="2:9" ht="39" customHeight="1" thickBot="1">
      <c r="B17" s="10" t="s">
        <v>6</v>
      </c>
      <c r="C17" s="53"/>
      <c r="D17" s="53"/>
      <c r="E17" s="53"/>
      <c r="F17" s="53"/>
      <c r="G17" s="53"/>
      <c r="H17" s="62"/>
      <c r="I17" s="62"/>
    </row>
    <row r="18" spans="2:9" ht="13.5" thickBot="1">
      <c r="B18" s="6" t="s">
        <v>7</v>
      </c>
      <c r="C18" s="26">
        <f>C15</f>
        <v>252091</v>
      </c>
      <c r="D18" s="26">
        <f>D15</f>
        <v>236126</v>
      </c>
      <c r="E18" s="26">
        <f>E15</f>
        <v>-15965</v>
      </c>
      <c r="F18" s="26">
        <f>F15</f>
        <v>252091</v>
      </c>
      <c r="G18" s="26">
        <f>G15</f>
        <v>0</v>
      </c>
      <c r="H18" s="62"/>
      <c r="I18" s="62"/>
    </row>
    <row r="19" spans="2:9" ht="18.75" customHeight="1" thickBot="1">
      <c r="B19" s="59" t="s">
        <v>8</v>
      </c>
      <c r="C19" s="60"/>
      <c r="D19" s="60"/>
      <c r="E19" s="60"/>
      <c r="F19" s="60"/>
      <c r="G19" s="61"/>
      <c r="H19" s="62"/>
      <c r="I19" s="62"/>
    </row>
    <row r="20" spans="2:9" ht="27" customHeight="1" thickBot="1">
      <c r="B20" s="10" t="s">
        <v>70</v>
      </c>
      <c r="C20" s="25">
        <v>0</v>
      </c>
      <c r="D20" s="25">
        <v>0</v>
      </c>
      <c r="E20" s="25">
        <f>D20-C20</f>
        <v>0</v>
      </c>
      <c r="F20" s="25">
        <f>C20</f>
        <v>0</v>
      </c>
      <c r="G20" s="25">
        <f>C20-F20</f>
        <v>0</v>
      </c>
      <c r="H20" s="62"/>
      <c r="I20" s="62"/>
    </row>
    <row r="21" spans="2:9" ht="27" customHeight="1" thickBot="1">
      <c r="B21" s="10" t="s">
        <v>9</v>
      </c>
      <c r="C21" s="25">
        <f>'[6]Sheet1'!$N$18</f>
        <v>98748</v>
      </c>
      <c r="D21" s="25">
        <f>'[6]Sheet1'!$R$18</f>
        <v>92494</v>
      </c>
      <c r="E21" s="25">
        <f>D21-C21</f>
        <v>-6254</v>
      </c>
      <c r="F21" s="25">
        <f>'[6]Sheet1'!$T$18</f>
        <v>98748</v>
      </c>
      <c r="G21" s="25">
        <f>C21-F21</f>
        <v>0</v>
      </c>
      <c r="H21" s="62"/>
      <c r="I21" s="62"/>
    </row>
    <row r="22" spans="2:9" ht="19.5" customHeight="1" thickBot="1">
      <c r="B22" s="10" t="s">
        <v>10</v>
      </c>
      <c r="C22" s="25">
        <f>'[6]Sheet1'!$N$19</f>
        <v>9111</v>
      </c>
      <c r="D22" s="25">
        <f>'[6]Sheet1'!$R$19</f>
        <v>8534</v>
      </c>
      <c r="E22" s="25">
        <f>D22-C22</f>
        <v>-577</v>
      </c>
      <c r="F22" s="25">
        <f>'[6]Sheet1'!$T$19</f>
        <v>9111</v>
      </c>
      <c r="G22" s="25">
        <f>C22-F22</f>
        <v>0</v>
      </c>
      <c r="H22" s="62"/>
      <c r="I22" s="62"/>
    </row>
    <row r="23" spans="2:9" ht="21" customHeight="1" thickBot="1">
      <c r="B23" s="10" t="s">
        <v>11</v>
      </c>
      <c r="C23" s="25">
        <f>'[6]Sheet1'!$N$20</f>
        <v>20290</v>
      </c>
      <c r="D23" s="25">
        <f>'[6]Sheet1'!$R$20</f>
        <v>19005</v>
      </c>
      <c r="E23" s="25">
        <f>D23-C23</f>
        <v>-1285</v>
      </c>
      <c r="F23" s="25">
        <f>'[6]Sheet1'!$T$20</f>
        <v>20290</v>
      </c>
      <c r="G23" s="25">
        <f>C23-F23</f>
        <v>0</v>
      </c>
      <c r="H23" s="62"/>
      <c r="I23" s="62"/>
    </row>
    <row r="24" spans="2:9" ht="25.5" customHeight="1" thickBot="1">
      <c r="B24" s="10" t="s">
        <v>12</v>
      </c>
      <c r="C24" s="25">
        <f>'[6]Sheet1'!$N$22</f>
        <v>31804</v>
      </c>
      <c r="D24" s="25">
        <f>'[6]Sheet1'!$R$22</f>
        <v>29790</v>
      </c>
      <c r="E24" s="25">
        <f>D24-C24</f>
        <v>-2014</v>
      </c>
      <c r="F24" s="25">
        <f>'[6]Sheet1'!$T$22</f>
        <v>43818</v>
      </c>
      <c r="G24" s="25">
        <f>C24-F24</f>
        <v>-12014</v>
      </c>
      <c r="H24" s="62"/>
      <c r="I24" s="62"/>
    </row>
    <row r="25" spans="2:9" ht="17.25" customHeight="1" thickBot="1">
      <c r="B25" s="10" t="s">
        <v>60</v>
      </c>
      <c r="C25" s="25">
        <v>0</v>
      </c>
      <c r="D25" s="25">
        <v>0</v>
      </c>
      <c r="E25" s="25">
        <f>D25-C25</f>
        <v>0</v>
      </c>
      <c r="F25" s="25">
        <v>0</v>
      </c>
      <c r="G25" s="25">
        <f>C25-F25</f>
        <v>0</v>
      </c>
      <c r="H25" s="62"/>
      <c r="I25" s="62"/>
    </row>
    <row r="26" spans="2:9" ht="17.25" customHeight="1" thickBot="1">
      <c r="B26" s="10" t="s">
        <v>61</v>
      </c>
      <c r="C26" s="25">
        <v>0</v>
      </c>
      <c r="D26" s="25">
        <v>0</v>
      </c>
      <c r="E26" s="25">
        <f>D26-C26</f>
        <v>0</v>
      </c>
      <c r="F26" s="25">
        <v>0</v>
      </c>
      <c r="G26" s="25">
        <f>C26-F26</f>
        <v>0</v>
      </c>
      <c r="H26" s="62"/>
      <c r="I26" s="62"/>
    </row>
    <row r="27" spans="2:9" ht="25.5" customHeight="1" thickBot="1">
      <c r="B27" s="10" t="s">
        <v>13</v>
      </c>
      <c r="C27" s="25">
        <f>'[6]Sheet1'!$N$26</f>
        <v>181066</v>
      </c>
      <c r="D27" s="25">
        <f>'[6]Sheet1'!$R$26</f>
        <v>169599</v>
      </c>
      <c r="E27" s="25">
        <f>D27-C27</f>
        <v>-11467</v>
      </c>
      <c r="F27" s="25">
        <f>'[6]Sheet1'!$T$26</f>
        <v>181066</v>
      </c>
      <c r="G27" s="25">
        <f>C27-F27</f>
        <v>0</v>
      </c>
      <c r="H27" s="62"/>
      <c r="I27" s="62"/>
    </row>
    <row r="28" spans="2:9" ht="25.5" customHeight="1" thickBot="1">
      <c r="B28" s="10" t="s">
        <v>14</v>
      </c>
      <c r="C28" s="25">
        <f>'[6]Sheet1'!$N$41+'[6]Sheet1'!$N$42</f>
        <v>30311</v>
      </c>
      <c r="D28" s="25">
        <f>'[6]Sheet1'!$R$41+'[6]Sheet1'!$R$42</f>
        <v>28392</v>
      </c>
      <c r="E28" s="25">
        <f>D28-C28</f>
        <v>-1919</v>
      </c>
      <c r="F28" s="25">
        <f>'[6]Sheet1'!$T$41+'[6]Sheet1'!$T$42</f>
        <v>30311</v>
      </c>
      <c r="G28" s="25">
        <f>C28-F28</f>
        <v>0</v>
      </c>
      <c r="H28" s="62"/>
      <c r="I28" s="62"/>
    </row>
    <row r="29" spans="2:9" ht="13.5" thickBot="1">
      <c r="B29" s="6" t="s">
        <v>7</v>
      </c>
      <c r="C29" s="26">
        <f>SUM(C20:C28)</f>
        <v>371330</v>
      </c>
      <c r="D29" s="26">
        <f>SUM(D20:D28)</f>
        <v>347814</v>
      </c>
      <c r="E29" s="26">
        <f>SUM(E20:E28)</f>
        <v>-23516</v>
      </c>
      <c r="F29" s="26">
        <f>SUM(F20:F28)</f>
        <v>383344</v>
      </c>
      <c r="G29" s="26">
        <f>SUM(G20:G28)</f>
        <v>-12014</v>
      </c>
      <c r="H29" s="62"/>
      <c r="I29" s="62"/>
    </row>
    <row r="30" spans="2:9" ht="13.5" thickBot="1">
      <c r="B30" s="7" t="s">
        <v>15</v>
      </c>
      <c r="C30" s="26">
        <f>C18+C29</f>
        <v>623421</v>
      </c>
      <c r="D30" s="26">
        <f>D18+D29</f>
        <v>583940</v>
      </c>
      <c r="E30" s="26">
        <f>E18+E29</f>
        <v>-39481</v>
      </c>
      <c r="F30" s="26">
        <f>F18+F29</f>
        <v>635435</v>
      </c>
      <c r="G30" s="26">
        <f>G18+G29</f>
        <v>-12014</v>
      </c>
      <c r="H30" s="62"/>
      <c r="I30" s="62"/>
    </row>
    <row r="31" spans="2:9" ht="12.75">
      <c r="B31" s="11"/>
      <c r="C31" s="62"/>
      <c r="D31" s="62"/>
      <c r="E31" s="62"/>
      <c r="F31" s="62"/>
      <c r="G31" s="62"/>
      <c r="H31" s="62"/>
      <c r="I31" s="62"/>
    </row>
    <row r="32" spans="2:9" ht="13.5" thickBot="1">
      <c r="B32" s="18" t="s">
        <v>47</v>
      </c>
      <c r="C32" s="62"/>
      <c r="D32" s="62"/>
      <c r="E32" s="62"/>
      <c r="F32" s="62"/>
      <c r="G32" s="62"/>
      <c r="H32" s="62"/>
      <c r="I32" s="62"/>
    </row>
    <row r="33" spans="2:9" ht="105" customHeight="1" thickBot="1">
      <c r="B33" s="22" t="s">
        <v>3</v>
      </c>
      <c r="C33" s="22" t="s">
        <v>28</v>
      </c>
      <c r="D33" s="23" t="s">
        <v>23</v>
      </c>
      <c r="E33" s="23" t="s">
        <v>31</v>
      </c>
      <c r="F33" s="22" t="s">
        <v>16</v>
      </c>
      <c r="G33" s="22" t="s">
        <v>29</v>
      </c>
      <c r="H33" s="62"/>
      <c r="I33" s="62"/>
    </row>
    <row r="34" spans="2:9" ht="13.5" customHeight="1" thickBot="1">
      <c r="B34" s="43">
        <v>1</v>
      </c>
      <c r="C34" s="44">
        <v>2</v>
      </c>
      <c r="D34" s="44">
        <v>3</v>
      </c>
      <c r="E34" s="44" t="s">
        <v>42</v>
      </c>
      <c r="F34" s="44">
        <v>5</v>
      </c>
      <c r="G34" s="45" t="s">
        <v>43</v>
      </c>
      <c r="H34" s="62"/>
      <c r="I34" s="62"/>
    </row>
    <row r="35" spans="2:9" ht="38.25" customHeight="1" thickBot="1">
      <c r="B35" s="10" t="s">
        <v>17</v>
      </c>
      <c r="C35" s="28">
        <f>'[6]Sheet1'!$N$12</f>
        <v>444050</v>
      </c>
      <c r="D35" s="28">
        <f>'[6]Sheet1'!$R$12</f>
        <v>415927</v>
      </c>
      <c r="E35" s="28">
        <f>D35-C35</f>
        <v>-28123</v>
      </c>
      <c r="F35" s="28">
        <f>'[6]Sheet1'!$U$12-106709</f>
        <v>347051</v>
      </c>
      <c r="G35" s="28">
        <f>C35-F35</f>
        <v>96999</v>
      </c>
      <c r="H35" s="65"/>
      <c r="I35" s="62"/>
    </row>
    <row r="36" spans="2:9" ht="13.5" thickBot="1">
      <c r="B36" s="6" t="s">
        <v>18</v>
      </c>
      <c r="C36" s="29">
        <f>C35</f>
        <v>444050</v>
      </c>
      <c r="D36" s="29">
        <f>D35</f>
        <v>415927</v>
      </c>
      <c r="E36" s="29">
        <f>E35</f>
        <v>-28123</v>
      </c>
      <c r="F36" s="29">
        <f>F35</f>
        <v>347051</v>
      </c>
      <c r="G36" s="29">
        <f>G35</f>
        <v>96999</v>
      </c>
      <c r="H36" s="62"/>
      <c r="I36" s="62"/>
    </row>
    <row r="37" spans="2:9" ht="12.75">
      <c r="B37" s="13"/>
      <c r="C37" s="62"/>
      <c r="D37" s="62"/>
      <c r="E37" s="62"/>
      <c r="F37" s="62"/>
      <c r="G37" s="62"/>
      <c r="H37" s="62"/>
      <c r="I37" s="62"/>
    </row>
    <row r="38" spans="2:9" ht="13.5" thickBot="1">
      <c r="B38" s="18" t="s">
        <v>30</v>
      </c>
      <c r="C38" s="62"/>
      <c r="D38" s="62"/>
      <c r="E38" s="62"/>
      <c r="F38" s="62"/>
      <c r="G38" s="62"/>
      <c r="H38" s="62"/>
      <c r="I38" s="62"/>
    </row>
    <row r="39" spans="2:9" ht="103.5" customHeight="1" thickBot="1">
      <c r="B39" s="22" t="s">
        <v>3</v>
      </c>
      <c r="C39" s="5" t="s">
        <v>25</v>
      </c>
      <c r="D39" s="8" t="s">
        <v>26</v>
      </c>
      <c r="E39" s="23" t="s">
        <v>31</v>
      </c>
      <c r="F39" s="5" t="s">
        <v>27</v>
      </c>
      <c r="G39" s="22" t="s">
        <v>29</v>
      </c>
      <c r="H39" s="62"/>
      <c r="I39" s="62"/>
    </row>
    <row r="40" spans="2:9" ht="13.5" customHeight="1" thickBot="1">
      <c r="B40" s="43">
        <v>1</v>
      </c>
      <c r="C40" s="44">
        <v>2</v>
      </c>
      <c r="D40" s="44">
        <v>3</v>
      </c>
      <c r="E40" s="44" t="s">
        <v>42</v>
      </c>
      <c r="F40" s="44">
        <v>5</v>
      </c>
      <c r="G40" s="45" t="s">
        <v>43</v>
      </c>
      <c r="H40" s="62"/>
      <c r="I40" s="62"/>
    </row>
    <row r="41" spans="2:9" ht="16.5" customHeight="1">
      <c r="B41" s="54" t="s">
        <v>69</v>
      </c>
      <c r="C41" s="50">
        <f>'[6]Sheet1'!$N$33</f>
        <v>645558</v>
      </c>
      <c r="D41" s="50">
        <f>'[6]Sheet1'!$R$33</f>
        <v>604673</v>
      </c>
      <c r="E41" s="50">
        <f>D41-C41</f>
        <v>-40885</v>
      </c>
      <c r="F41" s="50">
        <f>'[6]Sheet1'!$T$33</f>
        <v>843993</v>
      </c>
      <c r="G41" s="50">
        <f>C41-F41</f>
        <v>-198435</v>
      </c>
      <c r="H41" s="62"/>
      <c r="I41" s="62"/>
    </row>
    <row r="42" spans="2:9" ht="24" customHeight="1" thickBot="1">
      <c r="B42" s="55"/>
      <c r="C42" s="51"/>
      <c r="D42" s="51"/>
      <c r="E42" s="51"/>
      <c r="F42" s="51"/>
      <c r="G42" s="51"/>
      <c r="H42" s="62"/>
      <c r="I42" s="62"/>
    </row>
    <row r="43" spans="2:9" ht="17.25" customHeight="1">
      <c r="B43" s="54" t="s">
        <v>44</v>
      </c>
      <c r="C43" s="50">
        <f>2157207-219945.77</f>
        <v>1937261.23</v>
      </c>
      <c r="D43" s="50">
        <v>1940951</v>
      </c>
      <c r="E43" s="50">
        <f>D43-C43</f>
        <v>3689.7700000000186</v>
      </c>
      <c r="F43" s="50">
        <f>'[6]Sheet1'!$T$36</f>
        <v>1930346</v>
      </c>
      <c r="G43" s="50">
        <f>C43-F43</f>
        <v>6915.229999999981</v>
      </c>
      <c r="H43" s="62"/>
      <c r="I43" s="62"/>
    </row>
    <row r="44" spans="2:9" ht="13.5" thickBot="1">
      <c r="B44" s="55"/>
      <c r="C44" s="51"/>
      <c r="D44" s="51"/>
      <c r="E44" s="51"/>
      <c r="F44" s="51"/>
      <c r="G44" s="51"/>
      <c r="H44" s="62"/>
      <c r="I44" s="62"/>
    </row>
    <row r="45" spans="2:9" ht="13.5" thickBot="1">
      <c r="B45" s="7" t="s">
        <v>19</v>
      </c>
      <c r="C45" s="29">
        <f>C41+C43</f>
        <v>2582819.23</v>
      </c>
      <c r="D45" s="29">
        <f>D41+D43</f>
        <v>2545624</v>
      </c>
      <c r="E45" s="29">
        <f>E41+E43</f>
        <v>-37195.22999999998</v>
      </c>
      <c r="F45" s="29">
        <f>F41+F43</f>
        <v>2774339</v>
      </c>
      <c r="G45" s="29">
        <f>G41+G43</f>
        <v>-191519.77000000002</v>
      </c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11"/>
      <c r="C47" s="62"/>
      <c r="D47" s="62"/>
      <c r="E47" s="62"/>
      <c r="F47" s="62"/>
      <c r="G47" s="62"/>
      <c r="H47" s="62"/>
      <c r="I47" s="62"/>
    </row>
    <row r="48" spans="2:9" ht="12.75">
      <c r="B48" s="20" t="s">
        <v>62</v>
      </c>
      <c r="C48" s="62"/>
      <c r="D48" s="62"/>
      <c r="E48" s="62"/>
      <c r="F48" s="62"/>
      <c r="G48" s="31">
        <f>F50+F51</f>
        <v>-104799.22999999998</v>
      </c>
      <c r="H48" s="62"/>
      <c r="I48" s="62"/>
    </row>
    <row r="49" spans="2:9" ht="12.75">
      <c r="B49" s="30" t="s">
        <v>32</v>
      </c>
      <c r="C49" s="65"/>
      <c r="D49" s="62"/>
      <c r="E49" s="62"/>
      <c r="F49" s="62"/>
      <c r="G49" s="62"/>
      <c r="H49" s="62"/>
      <c r="I49" s="62"/>
    </row>
    <row r="50" spans="2:9" ht="12.75">
      <c r="B50" s="38" t="s">
        <v>63</v>
      </c>
      <c r="C50" s="62"/>
      <c r="D50" s="62"/>
      <c r="E50" s="62"/>
      <c r="F50" s="32">
        <f>(E30+E36)</f>
        <v>-67604</v>
      </c>
      <c r="G50" s="62"/>
      <c r="H50" s="62"/>
      <c r="I50" s="62"/>
    </row>
    <row r="51" spans="2:9" ht="12.75">
      <c r="B51" s="38" t="s">
        <v>64</v>
      </c>
      <c r="C51" s="62"/>
      <c r="D51" s="62"/>
      <c r="E51" s="62"/>
      <c r="F51" s="32">
        <f>(E45)</f>
        <v>-37195.22999999998</v>
      </c>
      <c r="G51" s="62"/>
      <c r="H51" s="62"/>
      <c r="I51" s="62"/>
    </row>
    <row r="52" spans="2:9" ht="12.75">
      <c r="B52" s="38"/>
      <c r="C52" s="62"/>
      <c r="D52" s="62"/>
      <c r="E52" s="62"/>
      <c r="F52" s="32"/>
      <c r="G52" s="62"/>
      <c r="H52" s="62"/>
      <c r="I52" s="62"/>
    </row>
    <row r="53" spans="2:9" s="33" customFormat="1" ht="12.75">
      <c r="B53" s="34" t="s">
        <v>35</v>
      </c>
      <c r="C53" s="66"/>
      <c r="D53" s="66"/>
      <c r="E53" s="67"/>
      <c r="F53" s="37"/>
      <c r="G53" s="31">
        <f>F55+F56</f>
        <v>-191519.77000000002</v>
      </c>
      <c r="H53" s="66"/>
      <c r="I53" s="66"/>
    </row>
    <row r="54" spans="2:9" s="33" customFormat="1" ht="12.75">
      <c r="B54" s="30" t="s">
        <v>32</v>
      </c>
      <c r="C54" s="66"/>
      <c r="D54" s="66"/>
      <c r="E54" s="67"/>
      <c r="F54" s="37"/>
      <c r="G54" s="41"/>
      <c r="H54" s="66"/>
      <c r="I54" s="66"/>
    </row>
    <row r="55" spans="2:9" s="33" customFormat="1" ht="12.75">
      <c r="B55" s="38" t="s">
        <v>36</v>
      </c>
      <c r="C55" s="66"/>
      <c r="D55" s="66"/>
      <c r="E55" s="67"/>
      <c r="F55" s="32">
        <f>IF((G30+G36)&lt;=0,G30+G36,0)</f>
        <v>0</v>
      </c>
      <c r="G55" s="41"/>
      <c r="H55" s="66"/>
      <c r="I55" s="66"/>
    </row>
    <row r="56" spans="2:9" s="33" customFormat="1" ht="12.75">
      <c r="B56" s="38" t="s">
        <v>37</v>
      </c>
      <c r="C56" s="66"/>
      <c r="D56" s="66"/>
      <c r="E56" s="67"/>
      <c r="F56" s="32">
        <f>IF(G45&lt;=0,G45,0)</f>
        <v>-191519.77000000002</v>
      </c>
      <c r="G56" s="41"/>
      <c r="H56" s="66"/>
      <c r="I56" s="66"/>
    </row>
    <row r="57" spans="2:9" s="33" customFormat="1" ht="12.75">
      <c r="B57" s="38"/>
      <c r="C57" s="66"/>
      <c r="D57" s="66"/>
      <c r="E57" s="67"/>
      <c r="F57" s="37"/>
      <c r="G57" s="41"/>
      <c r="H57" s="66"/>
      <c r="I57" s="66"/>
    </row>
    <row r="58" spans="2:9" s="33" customFormat="1" ht="12.75">
      <c r="B58" s="34" t="s">
        <v>65</v>
      </c>
      <c r="C58" s="66"/>
      <c r="D58" s="66"/>
      <c r="E58" s="67"/>
      <c r="F58" s="37"/>
      <c r="G58" s="31">
        <f>F60+F61</f>
        <v>84985</v>
      </c>
      <c r="H58" s="66"/>
      <c r="I58" s="66"/>
    </row>
    <row r="59" spans="2:9" ht="12.75">
      <c r="B59" s="30" t="s">
        <v>32</v>
      </c>
      <c r="C59" s="62"/>
      <c r="D59" s="62"/>
      <c r="E59" s="62"/>
      <c r="F59" s="11"/>
      <c r="G59" s="41"/>
      <c r="H59" s="62"/>
      <c r="I59" s="62"/>
    </row>
    <row r="60" spans="2:9" ht="12.75">
      <c r="B60" s="38" t="s">
        <v>36</v>
      </c>
      <c r="C60" s="62"/>
      <c r="D60" s="62"/>
      <c r="E60" s="62"/>
      <c r="F60" s="32">
        <f>IF((G30+G36)&gt;0,G30+G36,0)</f>
        <v>84985</v>
      </c>
      <c r="G60" s="62"/>
      <c r="H60" s="62"/>
      <c r="I60" s="62"/>
    </row>
    <row r="61" spans="2:9" ht="12.75">
      <c r="B61" s="38" t="s">
        <v>37</v>
      </c>
      <c r="C61" s="62"/>
      <c r="D61" s="62"/>
      <c r="E61" s="62"/>
      <c r="F61" s="32">
        <f>IF(G45&gt;0,G45,0)</f>
        <v>0</v>
      </c>
      <c r="G61" s="62"/>
      <c r="H61" s="62"/>
      <c r="I61" s="62"/>
    </row>
    <row r="62" spans="2:9" ht="12.75">
      <c r="B62" s="38"/>
      <c r="C62" s="62"/>
      <c r="D62" s="62"/>
      <c r="E62" s="62"/>
      <c r="F62" s="32"/>
      <c r="G62" s="62"/>
      <c r="H62" s="62"/>
      <c r="I62" s="62"/>
    </row>
    <row r="63" spans="2:9" ht="12.75">
      <c r="B63" s="49" t="s">
        <v>57</v>
      </c>
      <c r="C63" s="19"/>
      <c r="D63" s="19"/>
      <c r="E63" s="19"/>
      <c r="F63" s="11"/>
      <c r="G63" s="19"/>
      <c r="H63" s="19"/>
      <c r="I63" s="19"/>
    </row>
    <row r="64" spans="2:9" ht="12.75">
      <c r="B64" s="11" t="s">
        <v>58</v>
      </c>
      <c r="C64" s="19"/>
      <c r="D64" s="19"/>
      <c r="E64" s="48"/>
      <c r="F64" s="37"/>
      <c r="G64" s="31">
        <f>1220.87+400+700</f>
        <v>2320.87</v>
      </c>
      <c r="H64" s="19"/>
      <c r="I64" s="19"/>
    </row>
    <row r="65" spans="2:9" ht="12.75">
      <c r="B65" s="18"/>
      <c r="C65" s="19"/>
      <c r="D65" s="19"/>
      <c r="E65" s="19"/>
      <c r="F65" s="19"/>
      <c r="G65" s="19"/>
      <c r="H65" s="19"/>
      <c r="I65" s="19"/>
    </row>
    <row r="66" spans="2:9" ht="12.75">
      <c r="B66" s="38"/>
      <c r="C66" s="19"/>
      <c r="D66" s="19"/>
      <c r="E66" s="19"/>
      <c r="F66" s="32"/>
      <c r="G66" s="19"/>
      <c r="H66" s="19"/>
      <c r="I66" s="19"/>
    </row>
    <row r="67" spans="2:9" ht="15.75">
      <c r="B67" s="39" t="s">
        <v>49</v>
      </c>
      <c r="C67" s="19"/>
      <c r="D67" s="19"/>
      <c r="E67" s="19"/>
      <c r="F67" s="40">
        <f>G53+G58+G64</f>
        <v>-104213.90000000002</v>
      </c>
      <c r="G67" s="40" t="s">
        <v>40</v>
      </c>
      <c r="H67" s="19"/>
      <c r="I67" s="19"/>
    </row>
    <row r="68" spans="2:9" ht="12.75">
      <c r="B68" s="24" t="s">
        <v>38</v>
      </c>
      <c r="C68" s="19"/>
      <c r="D68" s="19"/>
      <c r="E68" s="19"/>
      <c r="F68" s="32"/>
      <c r="G68" s="19"/>
      <c r="H68" s="19"/>
      <c r="I68" s="19"/>
    </row>
    <row r="69" spans="2:9" ht="12.75">
      <c r="B69" s="24" t="s">
        <v>39</v>
      </c>
      <c r="C69" s="19"/>
      <c r="D69" s="19"/>
      <c r="E69" s="19"/>
      <c r="F69" s="32"/>
      <c r="G69" s="19"/>
      <c r="H69" s="19"/>
      <c r="I69" s="19"/>
    </row>
    <row r="70" spans="2:9" ht="12.75">
      <c r="B70" s="38"/>
      <c r="C70" s="19"/>
      <c r="D70" s="19"/>
      <c r="E70" s="19"/>
      <c r="F70" s="32"/>
      <c r="G70" s="19"/>
      <c r="H70" s="19"/>
      <c r="I70" s="19"/>
    </row>
    <row r="71" spans="2:9" ht="15.75">
      <c r="B71" s="39" t="s">
        <v>50</v>
      </c>
      <c r="C71" s="19"/>
      <c r="D71" s="19"/>
      <c r="E71" s="19"/>
      <c r="F71" s="40">
        <f>G48</f>
        <v>-104799.22999999998</v>
      </c>
      <c r="G71" s="40" t="s">
        <v>40</v>
      </c>
      <c r="H71" s="19"/>
      <c r="I71" s="19"/>
    </row>
    <row r="72" spans="2:9" ht="12.75">
      <c r="B72" s="24" t="s">
        <v>52</v>
      </c>
      <c r="C72" s="19"/>
      <c r="D72" s="19"/>
      <c r="E72" s="19"/>
      <c r="F72" s="32"/>
      <c r="G72" s="19"/>
      <c r="H72" s="19"/>
      <c r="I72" s="19"/>
    </row>
    <row r="73" spans="2:9" ht="12.75">
      <c r="B73" s="24" t="s">
        <v>53</v>
      </c>
      <c r="C73" s="19"/>
      <c r="D73" s="19"/>
      <c r="E73" s="19"/>
      <c r="F73" s="32"/>
      <c r="G73" s="19"/>
      <c r="H73" s="19"/>
      <c r="I73" s="19"/>
    </row>
    <row r="74" spans="2:9" ht="12.75">
      <c r="B74" s="13"/>
      <c r="C74" s="19"/>
      <c r="D74" s="19"/>
      <c r="E74" s="19"/>
      <c r="F74" s="19"/>
      <c r="G74" s="19"/>
      <c r="H74" s="19"/>
      <c r="I74" s="19"/>
    </row>
    <row r="75" spans="2:9" ht="15.75">
      <c r="B75" s="39" t="s">
        <v>56</v>
      </c>
      <c r="C75" s="19"/>
      <c r="D75" s="19"/>
      <c r="E75" s="19"/>
      <c r="F75" s="40">
        <f>D6+F67</f>
        <v>-296921.36</v>
      </c>
      <c r="G75" s="40" t="s">
        <v>40</v>
      </c>
      <c r="H75" s="19"/>
      <c r="I75" s="19"/>
    </row>
    <row r="76" spans="2:9" ht="12.75">
      <c r="B76" s="24" t="s">
        <v>38</v>
      </c>
      <c r="C76" s="19"/>
      <c r="D76" s="19"/>
      <c r="E76" s="19"/>
      <c r="F76" s="32"/>
      <c r="G76" s="19"/>
      <c r="H76" s="19"/>
      <c r="I76" s="19"/>
    </row>
    <row r="77" spans="2:9" ht="12.75">
      <c r="B77" s="24" t="s">
        <v>39</v>
      </c>
      <c r="C77" s="19"/>
      <c r="D77" s="19"/>
      <c r="E77" s="19"/>
      <c r="F77" s="32"/>
      <c r="G77" s="19"/>
      <c r="H77" s="19"/>
      <c r="I77" s="19"/>
    </row>
    <row r="78" spans="2:9" ht="12.75">
      <c r="B78" s="38"/>
      <c r="C78" s="19"/>
      <c r="D78" s="19"/>
      <c r="E78" s="19"/>
      <c r="F78" s="32"/>
      <c r="G78" s="19"/>
      <c r="H78" s="19"/>
      <c r="I78" s="19"/>
    </row>
    <row r="79" spans="2:9" ht="15.75">
      <c r="B79" s="39" t="s">
        <v>51</v>
      </c>
      <c r="C79" s="19"/>
      <c r="D79" s="19"/>
      <c r="E79" s="19"/>
      <c r="F79" s="40">
        <f>-633836.92-201437.06</f>
        <v>-835273.98</v>
      </c>
      <c r="G79" s="40" t="s">
        <v>40</v>
      </c>
      <c r="H79" s="19"/>
      <c r="I79" s="19"/>
    </row>
    <row r="80" spans="2:9" ht="12.75">
      <c r="B80" s="24" t="s">
        <v>52</v>
      </c>
      <c r="C80" s="19"/>
      <c r="D80" s="19"/>
      <c r="E80" s="19"/>
      <c r="F80" s="32"/>
      <c r="G80" s="19"/>
      <c r="H80" s="19"/>
      <c r="I80" s="19"/>
    </row>
    <row r="81" spans="2:9" ht="12.75">
      <c r="B81" s="24" t="s">
        <v>53</v>
      </c>
      <c r="C81" s="19"/>
      <c r="D81" s="19"/>
      <c r="E81" s="19"/>
      <c r="F81" s="32"/>
      <c r="G81" s="19"/>
      <c r="H81" s="19"/>
      <c r="I81" s="19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6" ht="15">
      <c r="B85" s="17"/>
      <c r="C85" s="68"/>
      <c r="D85" s="68"/>
      <c r="E85" s="68"/>
      <c r="F85" s="68"/>
    </row>
    <row r="86" spans="2:6" ht="14.25">
      <c r="B86" s="68"/>
      <c r="C86" s="68"/>
      <c r="D86" s="68"/>
      <c r="E86" s="68"/>
      <c r="F86" s="68"/>
    </row>
    <row r="87" spans="2:6" ht="14.25">
      <c r="B87" s="68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</sheetData>
  <sheetProtection/>
  <mergeCells count="19">
    <mergeCell ref="B43:B44"/>
    <mergeCell ref="B14:G14"/>
    <mergeCell ref="B19:G19"/>
    <mergeCell ref="E41:E42"/>
    <mergeCell ref="C15:C17"/>
    <mergeCell ref="D15:D17"/>
    <mergeCell ref="E15:E17"/>
    <mergeCell ref="F15:F17"/>
    <mergeCell ref="B41:B42"/>
    <mergeCell ref="G41:G42"/>
    <mergeCell ref="G43:G44"/>
    <mergeCell ref="F41:F42"/>
    <mergeCell ref="G15:G17"/>
    <mergeCell ref="C43:C44"/>
    <mergeCell ref="D43:D44"/>
    <mergeCell ref="F43:F44"/>
    <mergeCell ref="C41:C42"/>
    <mergeCell ref="D41:D42"/>
    <mergeCell ref="E43:E44"/>
  </mergeCells>
  <printOptions/>
  <pageMargins left="0.16" right="0.22" top="0.34" bottom="0.37" header="0.23" footer="0.28"/>
  <pageSetup fitToHeight="0" fitToWidth="1" horizontalDpi="600" verticalDpi="600" orientation="portrait" paperSize="9" scale="9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57">
      <selection activeCell="G64" sqref="G64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76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15.75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-191635.5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5.75">
      <c r="B9" s="12"/>
      <c r="C9" s="14"/>
      <c r="D9" s="14"/>
      <c r="E9" s="14"/>
      <c r="F9" s="14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'[7]Sheet1'!$N$15</f>
        <v>82077</v>
      </c>
      <c r="D14" s="50">
        <f>'[7]Sheet1'!$R$15</f>
        <v>75425</v>
      </c>
      <c r="E14" s="50">
        <f>D14-C14</f>
        <v>-6652</v>
      </c>
      <c r="F14" s="50">
        <f>'[7]Sheet1'!$T$15</f>
        <v>82077</v>
      </c>
      <c r="G14" s="71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70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69"/>
      <c r="H16" s="62"/>
      <c r="I16" s="62"/>
    </row>
    <row r="17" spans="2:9" ht="13.5" thickBot="1">
      <c r="B17" s="6" t="s">
        <v>7</v>
      </c>
      <c r="C17" s="26">
        <f>C14</f>
        <v>82077</v>
      </c>
      <c r="D17" s="26">
        <f>D14</f>
        <v>75425</v>
      </c>
      <c r="E17" s="26">
        <f>E14</f>
        <v>-6652</v>
      </c>
      <c r="F17" s="26">
        <f>F14</f>
        <v>82077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70</v>
      </c>
      <c r="C19" s="25">
        <f>'[7]Sheet1'!$N$17</f>
        <v>38243</v>
      </c>
      <c r="D19" s="25">
        <f>'[7]Sheet1'!$R$17</f>
        <v>35144</v>
      </c>
      <c r="E19" s="25">
        <f>D19-C19</f>
        <v>-3099</v>
      </c>
      <c r="F19" s="25">
        <f>C19</f>
        <v>38243</v>
      </c>
      <c r="G19" s="25">
        <f>C19-F19</f>
        <v>0</v>
      </c>
      <c r="H19" s="62"/>
      <c r="I19" s="62"/>
    </row>
    <row r="20" spans="2:9" ht="27" customHeight="1" thickBot="1">
      <c r="B20" s="10" t="s">
        <v>9</v>
      </c>
      <c r="C20" s="25">
        <f>'[7]Sheet1'!$N$18</f>
        <v>24875</v>
      </c>
      <c r="D20" s="25">
        <f>'[7]Sheet1'!$R$18</f>
        <v>22859</v>
      </c>
      <c r="E20" s="25">
        <f>D20-C20</f>
        <v>-2016</v>
      </c>
      <c r="F20" s="25">
        <f>'[7]Sheet1'!$T$18</f>
        <v>24875</v>
      </c>
      <c r="G20" s="25">
        <f>C20-F20</f>
        <v>0</v>
      </c>
      <c r="H20" s="62"/>
      <c r="I20" s="62"/>
    </row>
    <row r="21" spans="2:9" ht="19.5" customHeight="1" thickBot="1">
      <c r="B21" s="10" t="s">
        <v>10</v>
      </c>
      <c r="C21" s="25">
        <f>'[7]Sheet1'!$N$19</f>
        <v>1655</v>
      </c>
      <c r="D21" s="25">
        <f>'[7]Sheet1'!$R$19</f>
        <v>1521</v>
      </c>
      <c r="E21" s="25">
        <f>D21-C21</f>
        <v>-134</v>
      </c>
      <c r="F21" s="25">
        <f>'[7]Sheet1'!$T$19</f>
        <v>1655</v>
      </c>
      <c r="G21" s="25">
        <f>C21-F21</f>
        <v>0</v>
      </c>
      <c r="H21" s="62"/>
      <c r="I21" s="62"/>
    </row>
    <row r="22" spans="2:9" ht="21" customHeight="1" thickBot="1">
      <c r="B22" s="10" t="s">
        <v>11</v>
      </c>
      <c r="C22" s="25">
        <f>'[7]Sheet1'!$N$20</f>
        <v>7368</v>
      </c>
      <c r="D22" s="25">
        <f>'[7]Sheet1'!$R$20</f>
        <v>6771</v>
      </c>
      <c r="E22" s="25">
        <f>D22-C22</f>
        <v>-597</v>
      </c>
      <c r="F22" s="25">
        <f>'[7]Sheet1'!$T$20</f>
        <v>7368</v>
      </c>
      <c r="G22" s="25">
        <f>C22-F22</f>
        <v>0</v>
      </c>
      <c r="H22" s="62"/>
      <c r="I22" s="62"/>
    </row>
    <row r="23" spans="2:9" ht="25.5" customHeight="1" thickBot="1">
      <c r="B23" s="10" t="s">
        <v>12</v>
      </c>
      <c r="C23" s="25">
        <f>'[7]Sheet1'!$N$22+'[7]Sheet1'!$N$23</f>
        <v>29649</v>
      </c>
      <c r="D23" s="25">
        <f>'[7]Sheet1'!$R$22+'[7]Sheet1'!$R$23</f>
        <v>27246</v>
      </c>
      <c r="E23" s="25">
        <f>D23-C23</f>
        <v>-2403</v>
      </c>
      <c r="F23" s="25">
        <f>'[7]Sheet1'!$T$22+'[7]Sheet1'!$T$23</f>
        <v>71211</v>
      </c>
      <c r="G23" s="25">
        <f>C23-F23</f>
        <v>-41562</v>
      </c>
      <c r="H23" s="62"/>
      <c r="I23" s="62"/>
    </row>
    <row r="24" spans="2:9" ht="17.25" customHeight="1" thickBot="1">
      <c r="B24" s="10" t="s">
        <v>60</v>
      </c>
      <c r="C24" s="25">
        <f>'[7]Sheet1'!$N$25</f>
        <v>117295</v>
      </c>
      <c r="D24" s="25">
        <f>'[7]Sheet1'!$R$25</f>
        <v>107789</v>
      </c>
      <c r="E24" s="25">
        <f>D24-C24</f>
        <v>-9506</v>
      </c>
      <c r="F24" s="25">
        <f>C24</f>
        <v>117295</v>
      </c>
      <c r="G24" s="25">
        <f>C24-F24</f>
        <v>0</v>
      </c>
      <c r="H24" s="62"/>
      <c r="I24" s="62"/>
    </row>
    <row r="25" spans="2:9" ht="17.25" customHeight="1" thickBot="1">
      <c r="B25" s="10" t="s">
        <v>61</v>
      </c>
      <c r="C25" s="25">
        <f>'[7]Sheet1'!$N$24</f>
        <v>33740</v>
      </c>
      <c r="D25" s="25">
        <f>'[7]Sheet1'!$R$24</f>
        <v>31006</v>
      </c>
      <c r="E25" s="25">
        <f>D25-C25</f>
        <v>-2734</v>
      </c>
      <c r="F25" s="25">
        <f>C25</f>
        <v>33740</v>
      </c>
      <c r="G25" s="25">
        <f>C25-F25</f>
        <v>0</v>
      </c>
      <c r="H25" s="62"/>
      <c r="I25" s="62"/>
    </row>
    <row r="26" spans="2:9" ht="25.5" customHeight="1" thickBot="1">
      <c r="B26" s="10" t="s">
        <v>13</v>
      </c>
      <c r="C26" s="25">
        <f>'[7]Sheet1'!$N$26</f>
        <v>69997</v>
      </c>
      <c r="D26" s="25">
        <f>'[7]Sheet1'!$R$26</f>
        <v>64324</v>
      </c>
      <c r="E26" s="25">
        <f>D26-C26</f>
        <v>-5673</v>
      </c>
      <c r="F26" s="25">
        <f>'[7]Sheet1'!$T$26</f>
        <v>69997</v>
      </c>
      <c r="G26" s="25">
        <f>C26-F26</f>
        <v>0</v>
      </c>
      <c r="H26" s="62"/>
      <c r="I26" s="62"/>
    </row>
    <row r="27" spans="2:9" ht="25.5" customHeight="1" thickBot="1">
      <c r="B27" s="10" t="s">
        <v>14</v>
      </c>
      <c r="C27" s="25">
        <f>'[7]Sheet1'!$N$41+'[7]Sheet1'!$N$42</f>
        <v>7312</v>
      </c>
      <c r="D27" s="25">
        <f>'[7]Sheet1'!$R$41+'[7]Sheet1'!$R$42</f>
        <v>6720</v>
      </c>
      <c r="E27" s="25">
        <f>D27-C27</f>
        <v>-592</v>
      </c>
      <c r="F27" s="25">
        <f>'[7]Sheet1'!$T$41+'[7]Sheet1'!$T$42</f>
        <v>7312</v>
      </c>
      <c r="G27" s="25">
        <f>C27-F27</f>
        <v>0</v>
      </c>
      <c r="H27" s="62"/>
      <c r="I27" s="62"/>
    </row>
    <row r="28" spans="2:9" ht="13.5" thickBot="1">
      <c r="B28" s="6" t="s">
        <v>7</v>
      </c>
      <c r="C28" s="26">
        <f>SUM(C19:C27)</f>
        <v>330134</v>
      </c>
      <c r="D28" s="26">
        <f>SUM(D19:D27)</f>
        <v>303380</v>
      </c>
      <c r="E28" s="26">
        <f>SUM(E19:E27)</f>
        <v>-26754</v>
      </c>
      <c r="F28" s="26">
        <f>SUM(F19:F27)</f>
        <v>371696</v>
      </c>
      <c r="G28" s="26">
        <f>SUM(G19:G27)</f>
        <v>-41562</v>
      </c>
      <c r="H28" s="62"/>
      <c r="I28" s="62"/>
    </row>
    <row r="29" spans="2:9" ht="13.5" thickBot="1">
      <c r="B29" s="7" t="s">
        <v>15</v>
      </c>
      <c r="C29" s="26">
        <f>C17+C28</f>
        <v>412211</v>
      </c>
      <c r="D29" s="26">
        <f>D17+D28</f>
        <v>378805</v>
      </c>
      <c r="E29" s="26">
        <f>E17+E28</f>
        <v>-33406</v>
      </c>
      <c r="F29" s="26">
        <f>F17+F28</f>
        <v>453773</v>
      </c>
      <c r="G29" s="26">
        <f>G17+G28</f>
        <v>-41562</v>
      </c>
      <c r="H29" s="62"/>
      <c r="I29" s="62"/>
    </row>
    <row r="30" spans="2:9" ht="12.75">
      <c r="B30" s="11"/>
      <c r="C30" s="62"/>
      <c r="D30" s="62"/>
      <c r="E30" s="62"/>
      <c r="F30" s="62"/>
      <c r="G30" s="62"/>
      <c r="H30" s="62"/>
      <c r="I30" s="62"/>
    </row>
    <row r="31" spans="2:9" ht="13.5" thickBot="1">
      <c r="B31" s="18" t="s">
        <v>47</v>
      </c>
      <c r="C31" s="62"/>
      <c r="D31" s="62"/>
      <c r="E31" s="62"/>
      <c r="F31" s="62"/>
      <c r="G31" s="62"/>
      <c r="H31" s="62"/>
      <c r="I31" s="62"/>
    </row>
    <row r="32" spans="2:9" ht="105" customHeight="1" thickBot="1">
      <c r="B32" s="22" t="s">
        <v>3</v>
      </c>
      <c r="C32" s="22" t="s">
        <v>28</v>
      </c>
      <c r="D32" s="23" t="s">
        <v>23</v>
      </c>
      <c r="E32" s="23" t="s">
        <v>31</v>
      </c>
      <c r="F32" s="22" t="s">
        <v>16</v>
      </c>
      <c r="G32" s="22" t="s">
        <v>29</v>
      </c>
      <c r="H32" s="62"/>
      <c r="I32" s="62"/>
    </row>
    <row r="33" spans="2:9" ht="13.5" customHeight="1" thickBot="1">
      <c r="B33" s="43">
        <v>1</v>
      </c>
      <c r="C33" s="44">
        <v>2</v>
      </c>
      <c r="D33" s="44">
        <v>3</v>
      </c>
      <c r="E33" s="44" t="s">
        <v>42</v>
      </c>
      <c r="F33" s="44">
        <v>5</v>
      </c>
      <c r="G33" s="45" t="s">
        <v>43</v>
      </c>
      <c r="H33" s="62"/>
      <c r="I33" s="62"/>
    </row>
    <row r="34" spans="2:9" ht="38.25" customHeight="1" thickBot="1">
      <c r="B34" s="10" t="s">
        <v>17</v>
      </c>
      <c r="C34" s="28">
        <f>'[7]Sheet1'!$N$12</f>
        <v>154036</v>
      </c>
      <c r="D34" s="28">
        <f>'[7]Sheet1'!$R$12</f>
        <v>141553</v>
      </c>
      <c r="E34" s="28">
        <f>D34-C34</f>
        <v>-12483</v>
      </c>
      <c r="F34" s="28">
        <f>'[7]Sheet1'!$U$12-122037</f>
        <v>197096</v>
      </c>
      <c r="G34" s="28">
        <f>C34-F34</f>
        <v>-43060</v>
      </c>
      <c r="H34" s="65"/>
      <c r="I34" s="62"/>
    </row>
    <row r="35" spans="2:9" ht="13.5" thickBot="1">
      <c r="B35" s="6" t="s">
        <v>18</v>
      </c>
      <c r="C35" s="29">
        <f>C34</f>
        <v>154036</v>
      </c>
      <c r="D35" s="29">
        <f>D34</f>
        <v>141553</v>
      </c>
      <c r="E35" s="29">
        <f>E34</f>
        <v>-12483</v>
      </c>
      <c r="F35" s="29">
        <f>F34</f>
        <v>197096</v>
      </c>
      <c r="G35" s="29">
        <f>G34</f>
        <v>-43060</v>
      </c>
      <c r="H35" s="62"/>
      <c r="I35" s="62"/>
    </row>
    <row r="36" spans="2:9" ht="12.75">
      <c r="B36" s="13"/>
      <c r="C36" s="62"/>
      <c r="D36" s="62"/>
      <c r="E36" s="62"/>
      <c r="F36" s="62"/>
      <c r="G36" s="62"/>
      <c r="H36" s="62"/>
      <c r="I36" s="62"/>
    </row>
    <row r="37" spans="2:9" ht="13.5" thickBot="1">
      <c r="B37" s="18" t="s">
        <v>30</v>
      </c>
      <c r="C37" s="62"/>
      <c r="D37" s="62"/>
      <c r="E37" s="62"/>
      <c r="F37" s="62"/>
      <c r="G37" s="62"/>
      <c r="H37" s="62"/>
      <c r="I37" s="62"/>
    </row>
    <row r="38" spans="2:9" ht="103.5" customHeight="1" thickBot="1">
      <c r="B38" s="22" t="s">
        <v>3</v>
      </c>
      <c r="C38" s="5" t="s">
        <v>25</v>
      </c>
      <c r="D38" s="8" t="s">
        <v>26</v>
      </c>
      <c r="E38" s="23" t="s">
        <v>31</v>
      </c>
      <c r="F38" s="5" t="s">
        <v>27</v>
      </c>
      <c r="G38" s="22" t="s">
        <v>29</v>
      </c>
      <c r="H38" s="62"/>
      <c r="I38" s="62"/>
    </row>
    <row r="39" spans="2:9" ht="13.5" customHeight="1" thickBot="1">
      <c r="B39" s="43">
        <v>1</v>
      </c>
      <c r="C39" s="44">
        <v>2</v>
      </c>
      <c r="D39" s="44">
        <v>3</v>
      </c>
      <c r="E39" s="44" t="s">
        <v>42</v>
      </c>
      <c r="F39" s="44">
        <v>5</v>
      </c>
      <c r="G39" s="45" t="s">
        <v>43</v>
      </c>
      <c r="H39" s="62"/>
      <c r="I39" s="62"/>
    </row>
    <row r="40" spans="2:9" ht="16.5" customHeight="1">
      <c r="B40" s="54" t="s">
        <v>69</v>
      </c>
      <c r="C40" s="50">
        <f>'[7]Sheet1'!$N$33</f>
        <v>200619</v>
      </c>
      <c r="D40" s="50">
        <f>'[7]Sheet1'!$R$33</f>
        <v>184360</v>
      </c>
      <c r="E40" s="50">
        <f>D40-C40</f>
        <v>-16259</v>
      </c>
      <c r="F40" s="50">
        <f>'[7]Sheet1'!$T$33</f>
        <v>273039</v>
      </c>
      <c r="G40" s="50">
        <f>C40-F40</f>
        <v>-72420</v>
      </c>
      <c r="H40" s="62"/>
      <c r="I40" s="62"/>
    </row>
    <row r="41" spans="2:9" ht="24" customHeight="1" thickBot="1">
      <c r="B41" s="55"/>
      <c r="C41" s="51"/>
      <c r="D41" s="51"/>
      <c r="E41" s="51"/>
      <c r="F41" s="51"/>
      <c r="G41" s="51"/>
      <c r="H41" s="62"/>
      <c r="I41" s="62"/>
    </row>
    <row r="42" spans="2:9" ht="17.25" customHeight="1">
      <c r="B42" s="54" t="s">
        <v>44</v>
      </c>
      <c r="C42" s="50">
        <f>992989.79-100420.47</f>
        <v>892569.3200000001</v>
      </c>
      <c r="D42" s="50">
        <v>841992.17</v>
      </c>
      <c r="E42" s="50">
        <f>D42-C42</f>
        <v>-50577.15000000002</v>
      </c>
      <c r="F42" s="50">
        <v>798430.56</v>
      </c>
      <c r="G42" s="50">
        <f>C42-F42</f>
        <v>94138.76000000001</v>
      </c>
      <c r="H42" s="62"/>
      <c r="I42" s="62"/>
    </row>
    <row r="43" spans="2:9" ht="13.5" thickBot="1">
      <c r="B43" s="55"/>
      <c r="C43" s="51"/>
      <c r="D43" s="51"/>
      <c r="E43" s="51"/>
      <c r="F43" s="51"/>
      <c r="G43" s="51"/>
      <c r="H43" s="62"/>
      <c r="I43" s="62"/>
    </row>
    <row r="44" spans="2:9" ht="13.5" thickBot="1">
      <c r="B44" s="7" t="s">
        <v>19</v>
      </c>
      <c r="C44" s="29">
        <f>C40+C42</f>
        <v>1093188.32</v>
      </c>
      <c r="D44" s="29">
        <f>D40+D42</f>
        <v>1026352.17</v>
      </c>
      <c r="E44" s="29">
        <f>E40+E42</f>
        <v>-66836.15000000002</v>
      </c>
      <c r="F44" s="29">
        <f>F40+F42</f>
        <v>1071469.56</v>
      </c>
      <c r="G44" s="29">
        <f>G40+G42</f>
        <v>21718.76000000001</v>
      </c>
      <c r="H44" s="62"/>
      <c r="I44" s="62"/>
    </row>
    <row r="45" spans="2:9" ht="12.75">
      <c r="B45" s="11"/>
      <c r="C45" s="62"/>
      <c r="D45" s="62"/>
      <c r="E45" s="62"/>
      <c r="F45" s="62"/>
      <c r="G45" s="62"/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20" t="s">
        <v>62</v>
      </c>
      <c r="C47" s="62"/>
      <c r="D47" s="62"/>
      <c r="E47" s="62"/>
      <c r="F47" s="62"/>
      <c r="G47" s="31">
        <f>F49+F50</f>
        <v>-112725.15000000002</v>
      </c>
      <c r="H47" s="62"/>
      <c r="I47" s="62"/>
    </row>
    <row r="48" spans="2:9" ht="12.75">
      <c r="B48" s="30" t="s">
        <v>32</v>
      </c>
      <c r="C48" s="65"/>
      <c r="D48" s="62"/>
      <c r="E48" s="62"/>
      <c r="F48" s="62"/>
      <c r="G48" s="62"/>
      <c r="H48" s="62"/>
      <c r="I48" s="62"/>
    </row>
    <row r="49" spans="2:9" ht="12.75">
      <c r="B49" s="38" t="s">
        <v>67</v>
      </c>
      <c r="C49" s="62"/>
      <c r="D49" s="62"/>
      <c r="E49" s="62"/>
      <c r="F49" s="32">
        <f>(E29+E35)</f>
        <v>-45889</v>
      </c>
      <c r="G49" s="62"/>
      <c r="H49" s="62"/>
      <c r="I49" s="62"/>
    </row>
    <row r="50" spans="2:9" ht="12.75">
      <c r="B50" s="38" t="s">
        <v>64</v>
      </c>
      <c r="C50" s="62"/>
      <c r="D50" s="62"/>
      <c r="E50" s="62"/>
      <c r="F50" s="32">
        <f>(E44)</f>
        <v>-66836.15000000002</v>
      </c>
      <c r="G50" s="62"/>
      <c r="H50" s="62"/>
      <c r="I50" s="62"/>
    </row>
    <row r="51" spans="2:9" ht="12.75">
      <c r="B51" s="38"/>
      <c r="C51" s="62"/>
      <c r="D51" s="62"/>
      <c r="E51" s="62"/>
      <c r="F51" s="32"/>
      <c r="G51" s="62"/>
      <c r="H51" s="62"/>
      <c r="I51" s="62"/>
    </row>
    <row r="52" spans="2:9" s="33" customFormat="1" ht="12.75">
      <c r="B52" s="34" t="s">
        <v>35</v>
      </c>
      <c r="C52" s="66"/>
      <c r="D52" s="66"/>
      <c r="E52" s="67"/>
      <c r="F52" s="37"/>
      <c r="G52" s="31">
        <f>F54+F55</f>
        <v>-84622</v>
      </c>
      <c r="H52" s="66"/>
      <c r="I52" s="66"/>
    </row>
    <row r="53" spans="2:9" s="33" customFormat="1" ht="12.75">
      <c r="B53" s="30" t="s">
        <v>32</v>
      </c>
      <c r="C53" s="66"/>
      <c r="D53" s="66"/>
      <c r="E53" s="67"/>
      <c r="F53" s="37"/>
      <c r="G53" s="41"/>
      <c r="H53" s="66"/>
      <c r="I53" s="66"/>
    </row>
    <row r="54" spans="2:9" s="33" customFormat="1" ht="12.75">
      <c r="B54" s="38" t="s">
        <v>36</v>
      </c>
      <c r="C54" s="66"/>
      <c r="D54" s="66"/>
      <c r="E54" s="67"/>
      <c r="F54" s="32">
        <f>IF((G29+G35)&lt;=0,G29+G35,0)</f>
        <v>-84622</v>
      </c>
      <c r="G54" s="41"/>
      <c r="H54" s="66"/>
      <c r="I54" s="66"/>
    </row>
    <row r="55" spans="2:9" s="33" customFormat="1" ht="12.75">
      <c r="B55" s="38" t="s">
        <v>37</v>
      </c>
      <c r="C55" s="66"/>
      <c r="D55" s="66"/>
      <c r="E55" s="67"/>
      <c r="F55" s="32">
        <f>IF(G44&lt;=0,G44,0)</f>
        <v>0</v>
      </c>
      <c r="G55" s="41"/>
      <c r="H55" s="66"/>
      <c r="I55" s="66"/>
    </row>
    <row r="56" spans="2:9" s="33" customFormat="1" ht="12.75">
      <c r="B56" s="38"/>
      <c r="C56" s="66"/>
      <c r="D56" s="66"/>
      <c r="E56" s="67"/>
      <c r="F56" s="37"/>
      <c r="G56" s="41"/>
      <c r="H56" s="66"/>
      <c r="I56" s="66"/>
    </row>
    <row r="57" spans="2:9" s="33" customFormat="1" ht="12.75">
      <c r="B57" s="34" t="s">
        <v>65</v>
      </c>
      <c r="C57" s="66"/>
      <c r="D57" s="66"/>
      <c r="E57" s="67"/>
      <c r="F57" s="37"/>
      <c r="G57" s="31">
        <f>F59+F60</f>
        <v>21718.76000000001</v>
      </c>
      <c r="H57" s="66"/>
      <c r="I57" s="66"/>
    </row>
    <row r="58" spans="2:9" ht="12.75">
      <c r="B58" s="30" t="s">
        <v>32</v>
      </c>
      <c r="C58" s="62"/>
      <c r="D58" s="62"/>
      <c r="E58" s="62"/>
      <c r="F58" s="11"/>
      <c r="G58" s="41"/>
      <c r="H58" s="62"/>
      <c r="I58" s="62"/>
    </row>
    <row r="59" spans="2:9" ht="12.75">
      <c r="B59" s="38" t="s">
        <v>36</v>
      </c>
      <c r="C59" s="62"/>
      <c r="D59" s="62"/>
      <c r="E59" s="62"/>
      <c r="F59" s="32">
        <f>IF((G29+G35)&gt;0,G29+G35,0)</f>
        <v>0</v>
      </c>
      <c r="G59" s="62"/>
      <c r="H59" s="62"/>
      <c r="I59" s="62"/>
    </row>
    <row r="60" spans="2:9" ht="12.75">
      <c r="B60" s="38" t="s">
        <v>37</v>
      </c>
      <c r="C60" s="62"/>
      <c r="D60" s="62"/>
      <c r="E60" s="62"/>
      <c r="F60" s="32">
        <f>IF(G44&gt;0,G44,0)</f>
        <v>21718.76000000001</v>
      </c>
      <c r="G60" s="62"/>
      <c r="H60" s="62"/>
      <c r="I60" s="62"/>
    </row>
    <row r="61" spans="2:9" ht="12.75">
      <c r="B61" s="38"/>
      <c r="C61" s="62"/>
      <c r="D61" s="62"/>
      <c r="E61" s="62"/>
      <c r="F61" s="32"/>
      <c r="G61" s="62"/>
      <c r="H61" s="62"/>
      <c r="I61" s="62"/>
    </row>
    <row r="62" spans="2:9" ht="12.75">
      <c r="B62" s="49" t="s">
        <v>57</v>
      </c>
      <c r="C62" s="19"/>
      <c r="D62" s="19"/>
      <c r="E62" s="19"/>
      <c r="F62" s="11"/>
      <c r="G62" s="19"/>
      <c r="H62" s="19"/>
      <c r="I62" s="19"/>
    </row>
    <row r="63" spans="2:9" ht="12.75">
      <c r="B63" s="11" t="s">
        <v>58</v>
      </c>
      <c r="C63" s="19"/>
      <c r="D63" s="19"/>
      <c r="E63" s="48"/>
      <c r="F63" s="37"/>
      <c r="G63" s="31">
        <f>1220.87+400+700+2400*1+1180*6+11800*2+50000</f>
        <v>85400.87</v>
      </c>
      <c r="H63" s="19"/>
      <c r="I63" s="19"/>
    </row>
    <row r="64" spans="2:9" ht="12.75">
      <c r="B64" s="18"/>
      <c r="C64" s="19"/>
      <c r="D64" s="19"/>
      <c r="E64" s="19"/>
      <c r="F64" s="19"/>
      <c r="G64" s="19"/>
      <c r="H64" s="19"/>
      <c r="I64" s="19"/>
    </row>
    <row r="65" spans="2:9" ht="12.75">
      <c r="B65" s="38"/>
      <c r="C65" s="19"/>
      <c r="D65" s="19"/>
      <c r="E65" s="19"/>
      <c r="F65" s="32"/>
      <c r="G65" s="19"/>
      <c r="H65" s="19"/>
      <c r="I65" s="19"/>
    </row>
    <row r="66" spans="2:9" ht="15.75">
      <c r="B66" s="39" t="s">
        <v>49</v>
      </c>
      <c r="C66" s="19"/>
      <c r="D66" s="19"/>
      <c r="E66" s="19"/>
      <c r="F66" s="40">
        <f>G52+G57+G63</f>
        <v>22497.630000000005</v>
      </c>
      <c r="G66" s="40" t="s">
        <v>40</v>
      </c>
      <c r="H66" s="19"/>
      <c r="I66" s="19"/>
    </row>
    <row r="67" spans="2:9" ht="12.75">
      <c r="B67" s="24" t="s">
        <v>38</v>
      </c>
      <c r="C67" s="19"/>
      <c r="D67" s="19"/>
      <c r="E67" s="19"/>
      <c r="F67" s="32"/>
      <c r="G67" s="19"/>
      <c r="H67" s="19"/>
      <c r="I67" s="19"/>
    </row>
    <row r="68" spans="2:9" ht="12.75">
      <c r="B68" s="24" t="s">
        <v>39</v>
      </c>
      <c r="C68" s="19"/>
      <c r="D68" s="19"/>
      <c r="E68" s="19"/>
      <c r="F68" s="32"/>
      <c r="G68" s="19"/>
      <c r="H68" s="19"/>
      <c r="I68" s="19"/>
    </row>
    <row r="69" spans="2:9" ht="12.75">
      <c r="B69" s="38"/>
      <c r="C69" s="19"/>
      <c r="D69" s="19"/>
      <c r="E69" s="19"/>
      <c r="F69" s="32"/>
      <c r="G69" s="19"/>
      <c r="H69" s="19"/>
      <c r="I69" s="19"/>
    </row>
    <row r="70" spans="2:9" ht="15.75">
      <c r="B70" s="39" t="s">
        <v>50</v>
      </c>
      <c r="C70" s="19"/>
      <c r="D70" s="19"/>
      <c r="E70" s="19"/>
      <c r="F70" s="40">
        <f>G47</f>
        <v>-112725.15000000002</v>
      </c>
      <c r="G70" s="40" t="s">
        <v>40</v>
      </c>
      <c r="H70" s="19"/>
      <c r="I70" s="19"/>
    </row>
    <row r="71" spans="2:9" ht="12.75">
      <c r="B71" s="24" t="s">
        <v>52</v>
      </c>
      <c r="C71" s="19"/>
      <c r="D71" s="19"/>
      <c r="E71" s="19"/>
      <c r="F71" s="32"/>
      <c r="G71" s="19"/>
      <c r="H71" s="19"/>
      <c r="I71" s="19"/>
    </row>
    <row r="72" spans="2:9" ht="12.75">
      <c r="B72" s="24" t="s">
        <v>53</v>
      </c>
      <c r="C72" s="19"/>
      <c r="D72" s="19"/>
      <c r="E72" s="19"/>
      <c r="F72" s="32"/>
      <c r="G72" s="19"/>
      <c r="H72" s="19"/>
      <c r="I72" s="19"/>
    </row>
    <row r="73" spans="2:9" ht="12.75">
      <c r="B73" s="13"/>
      <c r="C73" s="19"/>
      <c r="D73" s="19"/>
      <c r="E73" s="19"/>
      <c r="F73" s="19"/>
      <c r="G73" s="19"/>
      <c r="H73" s="19"/>
      <c r="I73" s="19"/>
    </row>
    <row r="74" spans="2:9" ht="15.75">
      <c r="B74" s="39" t="s">
        <v>56</v>
      </c>
      <c r="C74" s="19"/>
      <c r="D74" s="19"/>
      <c r="E74" s="19"/>
      <c r="F74" s="40">
        <f>D5+F66</f>
        <v>-169137.87</v>
      </c>
      <c r="G74" s="40" t="s">
        <v>40</v>
      </c>
      <c r="H74" s="19"/>
      <c r="I74" s="19"/>
    </row>
    <row r="75" spans="2:9" ht="12.75">
      <c r="B75" s="24" t="s">
        <v>38</v>
      </c>
      <c r="C75" s="19"/>
      <c r="D75" s="19"/>
      <c r="E75" s="19"/>
      <c r="F75" s="32"/>
      <c r="G75" s="19"/>
      <c r="H75" s="19"/>
      <c r="I75" s="19"/>
    </row>
    <row r="76" spans="2:9" ht="12.75">
      <c r="B76" s="24" t="s">
        <v>39</v>
      </c>
      <c r="C76" s="19"/>
      <c r="D76" s="19"/>
      <c r="E76" s="19"/>
      <c r="F76" s="32"/>
      <c r="G76" s="19"/>
      <c r="H76" s="19"/>
      <c r="I76" s="19"/>
    </row>
    <row r="77" spans="2:9" ht="12.75">
      <c r="B77" s="38"/>
      <c r="C77" s="19"/>
      <c r="D77" s="19"/>
      <c r="E77" s="19"/>
      <c r="F77" s="32"/>
      <c r="G77" s="19"/>
      <c r="H77" s="19"/>
      <c r="I77" s="19"/>
    </row>
    <row r="78" spans="2:9" ht="15.75">
      <c r="B78" s="39" t="s">
        <v>51</v>
      </c>
      <c r="C78" s="19"/>
      <c r="D78" s="19"/>
      <c r="E78" s="19"/>
      <c r="F78" s="40">
        <f>-215251.9-136982.83</f>
        <v>-352234.73</v>
      </c>
      <c r="G78" s="40" t="s">
        <v>40</v>
      </c>
      <c r="H78" s="19"/>
      <c r="I78" s="19"/>
    </row>
    <row r="79" spans="2:9" ht="12.75">
      <c r="B79" s="24" t="s">
        <v>52</v>
      </c>
      <c r="C79" s="19"/>
      <c r="D79" s="19"/>
      <c r="E79" s="19"/>
      <c r="F79" s="32"/>
      <c r="G79" s="19"/>
      <c r="H79" s="19"/>
      <c r="I79" s="19"/>
    </row>
    <row r="80" spans="2:9" ht="12.75">
      <c r="B80" s="24" t="s">
        <v>53</v>
      </c>
      <c r="C80" s="19"/>
      <c r="D80" s="19"/>
      <c r="E80" s="19"/>
      <c r="F80" s="32"/>
      <c r="G80" s="19"/>
      <c r="H80" s="19"/>
      <c r="I80" s="19"/>
    </row>
    <row r="81" spans="2:9" ht="12.75">
      <c r="B81" s="11"/>
      <c r="C81" s="62"/>
      <c r="D81" s="62"/>
      <c r="E81" s="62"/>
      <c r="F81" s="62"/>
      <c r="G81" s="62"/>
      <c r="H81" s="62"/>
      <c r="I81" s="62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62"/>
      <c r="D83" s="62"/>
      <c r="E83" s="62"/>
      <c r="F83" s="62"/>
      <c r="G83" s="62"/>
      <c r="H83" s="62"/>
      <c r="I83" s="62"/>
    </row>
    <row r="84" spans="2:9" ht="12.75">
      <c r="B84" s="11"/>
      <c r="C84" s="21" t="s">
        <v>20</v>
      </c>
      <c r="D84" s="11"/>
      <c r="E84" s="62"/>
      <c r="F84" s="62"/>
      <c r="G84" s="62"/>
      <c r="H84" s="62"/>
      <c r="I84" s="62"/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="11" customFormat="1" ht="12.75">
      <c r="A86" s="37"/>
    </row>
    <row r="87" spans="2:6" ht="15">
      <c r="B87" s="17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  <row r="94" spans="2:6" ht="14.25">
      <c r="B94" s="68"/>
      <c r="C94" s="68"/>
      <c r="D94" s="68"/>
      <c r="E94" s="68"/>
      <c r="F94" s="68"/>
    </row>
  </sheetData>
  <sheetProtection/>
  <mergeCells count="19">
    <mergeCell ref="B42:B43"/>
    <mergeCell ref="B13:G13"/>
    <mergeCell ref="B18:G18"/>
    <mergeCell ref="E40:E41"/>
    <mergeCell ref="C14:C16"/>
    <mergeCell ref="D14:D16"/>
    <mergeCell ref="E14:E16"/>
    <mergeCell ref="F14:F16"/>
    <mergeCell ref="B40:B41"/>
    <mergeCell ref="G40:G41"/>
    <mergeCell ref="G42:G43"/>
    <mergeCell ref="F40:F41"/>
    <mergeCell ref="G14:G16"/>
    <mergeCell ref="C42:C43"/>
    <mergeCell ref="D42:D43"/>
    <mergeCell ref="F42:F43"/>
    <mergeCell ref="C40:C41"/>
    <mergeCell ref="D40:D41"/>
    <mergeCell ref="E42:E43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45">
      <selection activeCell="G64" sqref="G64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77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15.75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982874.5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5.75">
      <c r="B9" s="12"/>
      <c r="C9" s="14"/>
      <c r="D9" s="14"/>
      <c r="E9" s="14"/>
      <c r="F9" s="14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'[8]Sheet1'!$N$15</f>
        <v>190431</v>
      </c>
      <c r="D14" s="50">
        <f>'[8]Sheet1'!$R$15</f>
        <v>185982</v>
      </c>
      <c r="E14" s="50">
        <f>D14-C14</f>
        <v>-4449</v>
      </c>
      <c r="F14" s="50">
        <f>'[8]Sheet1'!$T$15</f>
        <v>190431</v>
      </c>
      <c r="G14" s="71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70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69"/>
      <c r="H16" s="62"/>
      <c r="I16" s="62"/>
    </row>
    <row r="17" spans="2:9" ht="13.5" thickBot="1">
      <c r="B17" s="6" t="s">
        <v>7</v>
      </c>
      <c r="C17" s="26">
        <f>C14</f>
        <v>190431</v>
      </c>
      <c r="D17" s="26">
        <f>D14</f>
        <v>185982</v>
      </c>
      <c r="E17" s="26">
        <f>E14</f>
        <v>-4449</v>
      </c>
      <c r="F17" s="26">
        <f>F14</f>
        <v>190431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9</v>
      </c>
      <c r="C19" s="25">
        <f>'[8]Sheet1'!$N$18</f>
        <v>62689</v>
      </c>
      <c r="D19" s="25">
        <f>'[8]Sheet1'!$R$18</f>
        <v>61224</v>
      </c>
      <c r="E19" s="25">
        <f>D19-C19</f>
        <v>-1465</v>
      </c>
      <c r="F19" s="25">
        <f>'[8]Sheet1'!$T$18</f>
        <v>62689</v>
      </c>
      <c r="G19" s="25">
        <f>C19-F19</f>
        <v>0</v>
      </c>
      <c r="H19" s="62"/>
      <c r="I19" s="62"/>
    </row>
    <row r="20" spans="2:9" ht="19.5" customHeight="1" thickBot="1">
      <c r="B20" s="10" t="s">
        <v>10</v>
      </c>
      <c r="C20" s="25">
        <f>'[8]Sheet1'!$N$19</f>
        <v>4170</v>
      </c>
      <c r="D20" s="25">
        <f>'[8]Sheet1'!$R$19</f>
        <v>4072</v>
      </c>
      <c r="E20" s="25">
        <f>D20-C20</f>
        <v>-98</v>
      </c>
      <c r="F20" s="25">
        <f>'[8]Sheet1'!$T$19</f>
        <v>4170</v>
      </c>
      <c r="G20" s="25">
        <f>C20-F20</f>
        <v>0</v>
      </c>
      <c r="H20" s="62"/>
      <c r="I20" s="62"/>
    </row>
    <row r="21" spans="2:9" ht="21" customHeight="1" thickBot="1">
      <c r="B21" s="10" t="s">
        <v>11</v>
      </c>
      <c r="C21" s="25">
        <f>'[8]Sheet1'!$N$20</f>
        <v>18545</v>
      </c>
      <c r="D21" s="25">
        <f>'[8]Sheet1'!$R$20</f>
        <v>18112</v>
      </c>
      <c r="E21" s="25">
        <f>D21-C21</f>
        <v>-433</v>
      </c>
      <c r="F21" s="25">
        <f>'[8]Sheet1'!$T$20</f>
        <v>18545</v>
      </c>
      <c r="G21" s="25">
        <f>C21-F21</f>
        <v>0</v>
      </c>
      <c r="H21" s="62"/>
      <c r="I21" s="62"/>
    </row>
    <row r="22" spans="2:9" ht="25.5" customHeight="1" thickBot="1">
      <c r="B22" s="10" t="s">
        <v>12</v>
      </c>
      <c r="C22" s="25">
        <f>'[8]Sheet1'!$N$22+'[8]Sheet1'!$N$23</f>
        <v>76441</v>
      </c>
      <c r="D22" s="25">
        <f>'[8]Sheet1'!$R$22+'[8]Sheet1'!$R$23</f>
        <v>74656</v>
      </c>
      <c r="E22" s="25">
        <f>D22-C22</f>
        <v>-1785</v>
      </c>
      <c r="F22" s="25">
        <f>'[8]Sheet1'!$T$22+'[8]Sheet1'!$T$23</f>
        <v>86593</v>
      </c>
      <c r="G22" s="25">
        <f>C22-F22</f>
        <v>-10152</v>
      </c>
      <c r="H22" s="62"/>
      <c r="I22" s="62"/>
    </row>
    <row r="23" spans="2:9" ht="17.25" customHeight="1" thickBot="1">
      <c r="B23" s="10" t="s">
        <v>60</v>
      </c>
      <c r="C23" s="25">
        <f>'[8]Sheet1'!$N$25</f>
        <v>310328</v>
      </c>
      <c r="D23" s="25">
        <f>'[8]Sheet1'!$R$25</f>
        <v>303078</v>
      </c>
      <c r="E23" s="25">
        <f>D23-C23</f>
        <v>-7250</v>
      </c>
      <c r="F23" s="25">
        <f>C23</f>
        <v>310328</v>
      </c>
      <c r="G23" s="25">
        <f>C23-F23</f>
        <v>0</v>
      </c>
      <c r="H23" s="62"/>
      <c r="I23" s="62"/>
    </row>
    <row r="24" spans="2:9" ht="17.25" customHeight="1" thickBot="1">
      <c r="B24" s="10" t="s">
        <v>61</v>
      </c>
      <c r="C24" s="25">
        <f>'[8]Sheet1'!$N$24</f>
        <v>84970</v>
      </c>
      <c r="D24" s="25">
        <f>'[8]Sheet1'!$R$24</f>
        <v>82985</v>
      </c>
      <c r="E24" s="25">
        <f>D24-C24</f>
        <v>-1985</v>
      </c>
      <c r="F24" s="25">
        <f>C24</f>
        <v>84970</v>
      </c>
      <c r="G24" s="25">
        <f>C24-F24</f>
        <v>0</v>
      </c>
      <c r="H24" s="62"/>
      <c r="I24" s="62"/>
    </row>
    <row r="25" spans="2:9" ht="25.5" customHeight="1" thickBot="1">
      <c r="B25" s="10" t="s">
        <v>13</v>
      </c>
      <c r="C25" s="25">
        <f>'[8]Sheet1'!$N$26</f>
        <v>176160</v>
      </c>
      <c r="D25" s="25">
        <f>'[8]Sheet1'!$R$26</f>
        <v>172044</v>
      </c>
      <c r="E25" s="25">
        <f>D25-C25</f>
        <v>-4116</v>
      </c>
      <c r="F25" s="25">
        <f>'[8]Sheet1'!$T$26</f>
        <v>176160</v>
      </c>
      <c r="G25" s="25">
        <f>C25-F25</f>
        <v>0</v>
      </c>
      <c r="H25" s="62"/>
      <c r="I25" s="62"/>
    </row>
    <row r="26" spans="2:9" ht="25.5" customHeight="1" thickBot="1">
      <c r="B26" s="10" t="s">
        <v>14</v>
      </c>
      <c r="C26" s="25">
        <f>'[8]Sheet1'!$N$41+'[8]Sheet1'!$N$42</f>
        <v>18454</v>
      </c>
      <c r="D26" s="25">
        <f>'[8]Sheet1'!$R$41+'[8]Sheet1'!$R$42</f>
        <v>18022</v>
      </c>
      <c r="E26" s="25">
        <f>D26-C26</f>
        <v>-432</v>
      </c>
      <c r="F26" s="25">
        <f>'[8]Sheet1'!$T$41+'[8]Sheet1'!$T$42</f>
        <v>18454</v>
      </c>
      <c r="G26" s="25">
        <f>C26-F26</f>
        <v>0</v>
      </c>
      <c r="H26" s="62"/>
      <c r="I26" s="62"/>
    </row>
    <row r="27" spans="2:9" ht="13.5" thickBot="1">
      <c r="B27" s="6" t="s">
        <v>7</v>
      </c>
      <c r="C27" s="26">
        <f>SUM(C19:C26)</f>
        <v>751757</v>
      </c>
      <c r="D27" s="26">
        <f>SUM(D19:D26)</f>
        <v>734193</v>
      </c>
      <c r="E27" s="26">
        <f>SUM(E19:E26)</f>
        <v>-17564</v>
      </c>
      <c r="F27" s="26">
        <f>SUM(F19:F26)</f>
        <v>761909</v>
      </c>
      <c r="G27" s="26">
        <f>SUM(G19:G26)</f>
        <v>-10152</v>
      </c>
      <c r="H27" s="62"/>
      <c r="I27" s="62"/>
    </row>
    <row r="28" spans="2:9" ht="13.5" thickBot="1">
      <c r="B28" s="7" t="s">
        <v>15</v>
      </c>
      <c r="C28" s="26">
        <f>C17+C27</f>
        <v>942188</v>
      </c>
      <c r="D28" s="26">
        <f>D17+D27</f>
        <v>920175</v>
      </c>
      <c r="E28" s="26">
        <f>E17+E27</f>
        <v>-22013</v>
      </c>
      <c r="F28" s="26">
        <f>F17+F27</f>
        <v>952340</v>
      </c>
      <c r="G28" s="26">
        <f>G17+G27</f>
        <v>-10152</v>
      </c>
      <c r="H28" s="62"/>
      <c r="I28" s="62"/>
    </row>
    <row r="29" spans="2:9" ht="12.75">
      <c r="B29" s="11"/>
      <c r="C29" s="62"/>
      <c r="D29" s="62"/>
      <c r="E29" s="62"/>
      <c r="F29" s="62"/>
      <c r="G29" s="62"/>
      <c r="H29" s="62"/>
      <c r="I29" s="62"/>
    </row>
    <row r="30" spans="2:9" ht="13.5" thickBot="1">
      <c r="B30" s="18" t="s">
        <v>47</v>
      </c>
      <c r="C30" s="62"/>
      <c r="D30" s="62"/>
      <c r="E30" s="62"/>
      <c r="F30" s="62"/>
      <c r="G30" s="62"/>
      <c r="H30" s="62"/>
      <c r="I30" s="62"/>
    </row>
    <row r="31" spans="2:9" ht="105" customHeight="1" thickBot="1">
      <c r="B31" s="22" t="s">
        <v>3</v>
      </c>
      <c r="C31" s="22" t="s">
        <v>28</v>
      </c>
      <c r="D31" s="23" t="s">
        <v>23</v>
      </c>
      <c r="E31" s="23" t="s">
        <v>31</v>
      </c>
      <c r="F31" s="22" t="s">
        <v>16</v>
      </c>
      <c r="G31" s="22" t="s">
        <v>29</v>
      </c>
      <c r="H31" s="62"/>
      <c r="I31" s="62"/>
    </row>
    <row r="32" spans="2:9" ht="13.5" customHeight="1" thickBot="1">
      <c r="B32" s="43">
        <v>1</v>
      </c>
      <c r="C32" s="44">
        <v>2</v>
      </c>
      <c r="D32" s="44">
        <v>3</v>
      </c>
      <c r="E32" s="44" t="s">
        <v>42</v>
      </c>
      <c r="F32" s="44">
        <v>5</v>
      </c>
      <c r="G32" s="45" t="s">
        <v>43</v>
      </c>
      <c r="H32" s="62"/>
      <c r="I32" s="62"/>
    </row>
    <row r="33" spans="2:9" ht="38.25" customHeight="1" thickBot="1">
      <c r="B33" s="10" t="s">
        <v>17</v>
      </c>
      <c r="C33" s="28">
        <f>'[8]Sheet1'!$N$12</f>
        <v>388566</v>
      </c>
      <c r="D33" s="28">
        <f>'[8]Sheet1'!$R$12</f>
        <v>379488</v>
      </c>
      <c r="E33" s="28">
        <f>D33-C33</f>
        <v>-9078</v>
      </c>
      <c r="F33" s="28">
        <f>'[8]Sheet1'!$U$12</f>
        <v>166443</v>
      </c>
      <c r="G33" s="28">
        <f>C33-F33</f>
        <v>222123</v>
      </c>
      <c r="H33" s="65"/>
      <c r="I33" s="62"/>
    </row>
    <row r="34" spans="2:9" ht="13.5" thickBot="1">
      <c r="B34" s="6" t="s">
        <v>18</v>
      </c>
      <c r="C34" s="29">
        <f>C33</f>
        <v>388566</v>
      </c>
      <c r="D34" s="29">
        <f>D33</f>
        <v>379488</v>
      </c>
      <c r="E34" s="29">
        <f>E33</f>
        <v>-9078</v>
      </c>
      <c r="F34" s="29">
        <f>F33</f>
        <v>166443</v>
      </c>
      <c r="G34" s="29">
        <f>G33</f>
        <v>222123</v>
      </c>
      <c r="H34" s="62"/>
      <c r="I34" s="62"/>
    </row>
    <row r="35" spans="2:9" ht="12.75">
      <c r="B35" s="13"/>
      <c r="C35" s="62"/>
      <c r="D35" s="62"/>
      <c r="E35" s="62"/>
      <c r="F35" s="62"/>
      <c r="G35" s="62"/>
      <c r="H35" s="62"/>
      <c r="I35" s="62"/>
    </row>
    <row r="36" spans="2:9" ht="12.75">
      <c r="B36" s="13"/>
      <c r="C36" s="62"/>
      <c r="D36" s="62"/>
      <c r="E36" s="62"/>
      <c r="F36" s="62"/>
      <c r="G36" s="62"/>
      <c r="H36" s="62"/>
      <c r="I36" s="62"/>
    </row>
    <row r="37" spans="2:9" ht="13.5" thickBot="1">
      <c r="B37" s="18" t="s">
        <v>30</v>
      </c>
      <c r="C37" s="62"/>
      <c r="D37" s="62"/>
      <c r="E37" s="62"/>
      <c r="F37" s="62"/>
      <c r="G37" s="62"/>
      <c r="H37" s="62"/>
      <c r="I37" s="62"/>
    </row>
    <row r="38" spans="2:9" ht="103.5" customHeight="1" thickBot="1">
      <c r="B38" s="22" t="s">
        <v>3</v>
      </c>
      <c r="C38" s="5" t="s">
        <v>25</v>
      </c>
      <c r="D38" s="8" t="s">
        <v>26</v>
      </c>
      <c r="E38" s="23" t="s">
        <v>31</v>
      </c>
      <c r="F38" s="5" t="s">
        <v>27</v>
      </c>
      <c r="G38" s="22" t="s">
        <v>29</v>
      </c>
      <c r="H38" s="62"/>
      <c r="I38" s="62"/>
    </row>
    <row r="39" spans="2:9" ht="13.5" customHeight="1" thickBot="1">
      <c r="B39" s="43">
        <v>1</v>
      </c>
      <c r="C39" s="44">
        <v>2</v>
      </c>
      <c r="D39" s="44">
        <v>3</v>
      </c>
      <c r="E39" s="44" t="s">
        <v>42</v>
      </c>
      <c r="F39" s="44">
        <v>5</v>
      </c>
      <c r="G39" s="45" t="s">
        <v>43</v>
      </c>
      <c r="H39" s="62"/>
      <c r="I39" s="62"/>
    </row>
    <row r="40" spans="2:9" ht="16.5" customHeight="1">
      <c r="B40" s="54" t="s">
        <v>46</v>
      </c>
      <c r="C40" s="50">
        <f>'[8]Sheet1'!$N$33</f>
        <v>415276</v>
      </c>
      <c r="D40" s="50">
        <f>'[8]Sheet1'!$R$33</f>
        <v>405574</v>
      </c>
      <c r="E40" s="50">
        <f>D40-C40</f>
        <v>-9702</v>
      </c>
      <c r="F40" s="50">
        <f>'[8]Sheet1'!$T$33</f>
        <v>475585</v>
      </c>
      <c r="G40" s="50">
        <f>C40-F40</f>
        <v>-60309</v>
      </c>
      <c r="H40" s="62"/>
      <c r="I40" s="62"/>
    </row>
    <row r="41" spans="2:9" ht="24" customHeight="1" thickBot="1">
      <c r="B41" s="55"/>
      <c r="C41" s="51"/>
      <c r="D41" s="51"/>
      <c r="E41" s="51"/>
      <c r="F41" s="51"/>
      <c r="G41" s="51"/>
      <c r="H41" s="62"/>
      <c r="I41" s="62"/>
    </row>
    <row r="42" spans="2:9" ht="17.25" customHeight="1">
      <c r="B42" s="54" t="s">
        <v>44</v>
      </c>
      <c r="C42" s="50">
        <f>1541032.93-71365.2</f>
        <v>1469667.73</v>
      </c>
      <c r="D42" s="50">
        <v>1414547.7</v>
      </c>
      <c r="E42" s="50">
        <f>D42-C42</f>
        <v>-55120.03000000003</v>
      </c>
      <c r="F42" s="50">
        <f>'[8]Sheet1'!$T$36</f>
        <v>1512797</v>
      </c>
      <c r="G42" s="50">
        <f>C42-F42</f>
        <v>-43129.27000000002</v>
      </c>
      <c r="H42" s="62"/>
      <c r="I42" s="62"/>
    </row>
    <row r="43" spans="2:9" ht="13.5" thickBot="1">
      <c r="B43" s="55"/>
      <c r="C43" s="51"/>
      <c r="D43" s="51"/>
      <c r="E43" s="51"/>
      <c r="F43" s="51"/>
      <c r="G43" s="51"/>
      <c r="H43" s="62"/>
      <c r="I43" s="62"/>
    </row>
    <row r="44" spans="2:9" ht="13.5" thickBot="1">
      <c r="B44" s="7" t="s">
        <v>19</v>
      </c>
      <c r="C44" s="29">
        <f>C40+C42</f>
        <v>1884943.73</v>
      </c>
      <c r="D44" s="29">
        <f>D40+D42</f>
        <v>1820121.7</v>
      </c>
      <c r="E44" s="29">
        <f>E40+E42</f>
        <v>-64822.03000000003</v>
      </c>
      <c r="F44" s="29">
        <f>F40+F42</f>
        <v>1988382</v>
      </c>
      <c r="G44" s="29">
        <f>G40+G42</f>
        <v>-103438.27000000002</v>
      </c>
      <c r="H44" s="62"/>
      <c r="I44" s="62"/>
    </row>
    <row r="45" spans="2:9" ht="12.75">
      <c r="B45" s="11"/>
      <c r="C45" s="62"/>
      <c r="D45" s="62"/>
      <c r="E45" s="62"/>
      <c r="F45" s="62"/>
      <c r="G45" s="62"/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20" t="s">
        <v>62</v>
      </c>
      <c r="C47" s="62"/>
      <c r="D47" s="62"/>
      <c r="E47" s="62"/>
      <c r="F47" s="62"/>
      <c r="G47" s="31">
        <f>F49+F50</f>
        <v>-95913.03000000003</v>
      </c>
      <c r="H47" s="62"/>
      <c r="I47" s="62"/>
    </row>
    <row r="48" spans="2:9" ht="12.75">
      <c r="B48" s="30" t="s">
        <v>32</v>
      </c>
      <c r="C48" s="65"/>
      <c r="D48" s="62"/>
      <c r="E48" s="62"/>
      <c r="F48" s="62"/>
      <c r="G48" s="62"/>
      <c r="H48" s="62"/>
      <c r="I48" s="62"/>
    </row>
    <row r="49" spans="2:9" ht="12.75">
      <c r="B49" s="38" t="s">
        <v>67</v>
      </c>
      <c r="C49" s="62"/>
      <c r="D49" s="62"/>
      <c r="E49" s="62"/>
      <c r="F49" s="32">
        <f>(E28+E34)</f>
        <v>-31091</v>
      </c>
      <c r="G49" s="62"/>
      <c r="H49" s="62"/>
      <c r="I49" s="62"/>
    </row>
    <row r="50" spans="2:9" ht="12.75">
      <c r="B50" s="38" t="s">
        <v>64</v>
      </c>
      <c r="C50" s="62"/>
      <c r="D50" s="62"/>
      <c r="E50" s="62"/>
      <c r="F50" s="32">
        <f>(E44)</f>
        <v>-64822.03000000003</v>
      </c>
      <c r="G50" s="62"/>
      <c r="H50" s="62"/>
      <c r="I50" s="62"/>
    </row>
    <row r="51" spans="2:9" ht="12.75">
      <c r="B51" s="38"/>
      <c r="C51" s="62"/>
      <c r="D51" s="62"/>
      <c r="E51" s="62"/>
      <c r="F51" s="32"/>
      <c r="G51" s="62"/>
      <c r="H51" s="62"/>
      <c r="I51" s="62"/>
    </row>
    <row r="52" spans="2:9" s="33" customFormat="1" ht="12.75">
      <c r="B52" s="34" t="s">
        <v>35</v>
      </c>
      <c r="C52" s="66"/>
      <c r="D52" s="66"/>
      <c r="E52" s="67"/>
      <c r="F52" s="37"/>
      <c r="G52" s="31">
        <f>F54+F55</f>
        <v>-103438.27000000002</v>
      </c>
      <c r="H52" s="66"/>
      <c r="I52" s="66"/>
    </row>
    <row r="53" spans="2:9" s="33" customFormat="1" ht="12.75">
      <c r="B53" s="30" t="s">
        <v>32</v>
      </c>
      <c r="C53" s="66"/>
      <c r="D53" s="66"/>
      <c r="E53" s="67"/>
      <c r="F53" s="37"/>
      <c r="G53" s="41"/>
      <c r="H53" s="66"/>
      <c r="I53" s="66"/>
    </row>
    <row r="54" spans="2:9" s="33" customFormat="1" ht="12.75">
      <c r="B54" s="38" t="s">
        <v>36</v>
      </c>
      <c r="C54" s="66"/>
      <c r="D54" s="66"/>
      <c r="E54" s="67"/>
      <c r="F54" s="32">
        <f>IF((G28+G34)&lt;=0,G28+G34,0)</f>
        <v>0</v>
      </c>
      <c r="G54" s="41"/>
      <c r="H54" s="66"/>
      <c r="I54" s="66"/>
    </row>
    <row r="55" spans="2:9" s="33" customFormat="1" ht="12.75">
      <c r="B55" s="38" t="s">
        <v>37</v>
      </c>
      <c r="C55" s="66"/>
      <c r="D55" s="66"/>
      <c r="E55" s="67"/>
      <c r="F55" s="32">
        <f>IF(G44&lt;=0,G44,0)</f>
        <v>-103438.27000000002</v>
      </c>
      <c r="G55" s="41"/>
      <c r="H55" s="66"/>
      <c r="I55" s="66"/>
    </row>
    <row r="56" spans="2:9" s="33" customFormat="1" ht="12.75">
      <c r="B56" s="38"/>
      <c r="C56" s="66"/>
      <c r="D56" s="66"/>
      <c r="E56" s="67"/>
      <c r="F56" s="37"/>
      <c r="G56" s="41"/>
      <c r="H56" s="66"/>
      <c r="I56" s="66"/>
    </row>
    <row r="57" spans="2:9" s="33" customFormat="1" ht="12.75">
      <c r="B57" s="34" t="s">
        <v>65</v>
      </c>
      <c r="C57" s="66"/>
      <c r="D57" s="66"/>
      <c r="E57" s="67"/>
      <c r="F57" s="37"/>
      <c r="G57" s="31">
        <f>F59+F60</f>
        <v>211971</v>
      </c>
      <c r="H57" s="66"/>
      <c r="I57" s="66"/>
    </row>
    <row r="58" spans="2:9" ht="12.75">
      <c r="B58" s="30" t="s">
        <v>32</v>
      </c>
      <c r="C58" s="62"/>
      <c r="D58" s="62"/>
      <c r="E58" s="62"/>
      <c r="F58" s="11"/>
      <c r="G58" s="41"/>
      <c r="H58" s="62"/>
      <c r="I58" s="62"/>
    </row>
    <row r="59" spans="2:9" ht="12.75">
      <c r="B59" s="38" t="s">
        <v>36</v>
      </c>
      <c r="C59" s="62"/>
      <c r="D59" s="62"/>
      <c r="E59" s="62"/>
      <c r="F59" s="32">
        <f>IF((G28+G34)&gt;0,G28+G34,0)</f>
        <v>211971</v>
      </c>
      <c r="G59" s="62"/>
      <c r="H59" s="62"/>
      <c r="I59" s="62"/>
    </row>
    <row r="60" spans="2:9" ht="12.75">
      <c r="B60" s="38" t="s">
        <v>37</v>
      </c>
      <c r="C60" s="62"/>
      <c r="D60" s="62"/>
      <c r="E60" s="62"/>
      <c r="F60" s="32">
        <f>IF(G44&gt;0,G44,0)</f>
        <v>0</v>
      </c>
      <c r="G60" s="62"/>
      <c r="H60" s="62"/>
      <c r="I60" s="62"/>
    </row>
    <row r="61" spans="2:9" ht="12.75">
      <c r="B61" s="38"/>
      <c r="C61" s="62"/>
      <c r="D61" s="62"/>
      <c r="E61" s="62"/>
      <c r="F61" s="32"/>
      <c r="G61" s="62"/>
      <c r="H61" s="62"/>
      <c r="I61" s="62"/>
    </row>
    <row r="62" spans="2:9" ht="12.75">
      <c r="B62" s="49" t="s">
        <v>57</v>
      </c>
      <c r="C62" s="19"/>
      <c r="D62" s="19"/>
      <c r="E62" s="19"/>
      <c r="F62" s="11"/>
      <c r="G62" s="19"/>
      <c r="H62" s="19"/>
      <c r="I62" s="19"/>
    </row>
    <row r="63" spans="2:9" ht="12.75">
      <c r="B63" s="11" t="s">
        <v>58</v>
      </c>
      <c r="C63" s="19"/>
      <c r="D63" s="19"/>
      <c r="E63" s="48"/>
      <c r="F63" s="37"/>
      <c r="G63" s="31">
        <f>1220.87+400+700+2400*3</f>
        <v>9520.869999999999</v>
      </c>
      <c r="H63" s="19"/>
      <c r="I63" s="19"/>
    </row>
    <row r="64" spans="2:9" ht="12.75">
      <c r="B64" s="18"/>
      <c r="C64" s="19"/>
      <c r="D64" s="19"/>
      <c r="E64" s="19"/>
      <c r="F64" s="19"/>
      <c r="G64" s="19"/>
      <c r="H64" s="19"/>
      <c r="I64" s="19"/>
    </row>
    <row r="65" spans="2:9" ht="12.75">
      <c r="B65" s="38"/>
      <c r="C65" s="19"/>
      <c r="D65" s="19"/>
      <c r="E65" s="19"/>
      <c r="F65" s="32"/>
      <c r="G65" s="19"/>
      <c r="H65" s="19"/>
      <c r="I65" s="19"/>
    </row>
    <row r="66" spans="2:9" ht="15.75">
      <c r="B66" s="39" t="s">
        <v>49</v>
      </c>
      <c r="C66" s="19"/>
      <c r="D66" s="19"/>
      <c r="E66" s="19"/>
      <c r="F66" s="40">
        <f>G52+G57+G63</f>
        <v>118053.59999999998</v>
      </c>
      <c r="G66" s="40" t="s">
        <v>40</v>
      </c>
      <c r="H66" s="19"/>
      <c r="I66" s="19"/>
    </row>
    <row r="67" spans="2:9" ht="12.75">
      <c r="B67" s="24" t="s">
        <v>38</v>
      </c>
      <c r="C67" s="19"/>
      <c r="D67" s="19"/>
      <c r="E67" s="19"/>
      <c r="F67" s="32"/>
      <c r="G67" s="19"/>
      <c r="H67" s="19"/>
      <c r="I67" s="19"/>
    </row>
    <row r="68" spans="2:9" ht="12.75">
      <c r="B68" s="24" t="s">
        <v>39</v>
      </c>
      <c r="C68" s="19"/>
      <c r="D68" s="19"/>
      <c r="E68" s="19"/>
      <c r="F68" s="32"/>
      <c r="G68" s="19"/>
      <c r="H68" s="19"/>
      <c r="I68" s="19"/>
    </row>
    <row r="69" spans="2:9" ht="12.75">
      <c r="B69" s="38"/>
      <c r="C69" s="19"/>
      <c r="D69" s="19"/>
      <c r="E69" s="19"/>
      <c r="F69" s="32"/>
      <c r="G69" s="19"/>
      <c r="H69" s="19"/>
      <c r="I69" s="19"/>
    </row>
    <row r="70" spans="2:9" ht="15.75">
      <c r="B70" s="39" t="s">
        <v>50</v>
      </c>
      <c r="C70" s="19"/>
      <c r="D70" s="19"/>
      <c r="E70" s="19"/>
      <c r="F70" s="40">
        <f>G47</f>
        <v>-95913.03000000003</v>
      </c>
      <c r="G70" s="40" t="s">
        <v>40</v>
      </c>
      <c r="H70" s="19"/>
      <c r="I70" s="19"/>
    </row>
    <row r="71" spans="2:9" ht="12.75">
      <c r="B71" s="24" t="s">
        <v>52</v>
      </c>
      <c r="C71" s="19"/>
      <c r="D71" s="19"/>
      <c r="E71" s="19"/>
      <c r="F71" s="32"/>
      <c r="G71" s="19"/>
      <c r="H71" s="19"/>
      <c r="I71" s="19"/>
    </row>
    <row r="72" spans="2:9" ht="12.75">
      <c r="B72" s="24" t="s">
        <v>53</v>
      </c>
      <c r="C72" s="19"/>
      <c r="D72" s="19"/>
      <c r="E72" s="19"/>
      <c r="F72" s="32"/>
      <c r="G72" s="19"/>
      <c r="H72" s="19"/>
      <c r="I72" s="19"/>
    </row>
    <row r="73" spans="2:9" ht="12.75">
      <c r="B73" s="13"/>
      <c r="C73" s="19"/>
      <c r="D73" s="19"/>
      <c r="E73" s="19"/>
      <c r="F73" s="19"/>
      <c r="G73" s="19"/>
      <c r="H73" s="19"/>
      <c r="I73" s="19"/>
    </row>
    <row r="74" spans="2:9" ht="15.75">
      <c r="B74" s="39" t="s">
        <v>56</v>
      </c>
      <c r="C74" s="19"/>
      <c r="D74" s="19"/>
      <c r="E74" s="19"/>
      <c r="F74" s="40">
        <f>D5+F66</f>
        <v>1100928.1</v>
      </c>
      <c r="G74" s="40" t="s">
        <v>40</v>
      </c>
      <c r="H74" s="19"/>
      <c r="I74" s="19"/>
    </row>
    <row r="75" spans="2:9" ht="12.75">
      <c r="B75" s="24" t="s">
        <v>38</v>
      </c>
      <c r="C75" s="19"/>
      <c r="D75" s="19"/>
      <c r="E75" s="19"/>
      <c r="F75" s="32"/>
      <c r="G75" s="19"/>
      <c r="H75" s="19"/>
      <c r="I75" s="19"/>
    </row>
    <row r="76" spans="2:9" ht="12.75">
      <c r="B76" s="24" t="s">
        <v>39</v>
      </c>
      <c r="C76" s="19"/>
      <c r="D76" s="19"/>
      <c r="E76" s="19"/>
      <c r="F76" s="32"/>
      <c r="G76" s="19"/>
      <c r="H76" s="19"/>
      <c r="I76" s="19"/>
    </row>
    <row r="77" spans="2:9" ht="12.75">
      <c r="B77" s="38"/>
      <c r="C77" s="19"/>
      <c r="D77" s="19"/>
      <c r="E77" s="19"/>
      <c r="F77" s="32"/>
      <c r="G77" s="19"/>
      <c r="H77" s="19"/>
      <c r="I77" s="19"/>
    </row>
    <row r="78" spans="2:9" ht="15.75">
      <c r="B78" s="39" t="s">
        <v>51</v>
      </c>
      <c r="C78" s="19"/>
      <c r="D78" s="19"/>
      <c r="E78" s="19"/>
      <c r="F78" s="40">
        <f>-145628.25-430003.48</f>
        <v>-575631.73</v>
      </c>
      <c r="G78" s="40" t="s">
        <v>40</v>
      </c>
      <c r="H78" s="19"/>
      <c r="I78" s="19"/>
    </row>
    <row r="79" spans="2:9" ht="12.75">
      <c r="B79" s="24" t="s">
        <v>52</v>
      </c>
      <c r="C79" s="19"/>
      <c r="D79" s="19"/>
      <c r="E79" s="19"/>
      <c r="F79" s="32"/>
      <c r="G79" s="19"/>
      <c r="H79" s="19"/>
      <c r="I79" s="19"/>
    </row>
    <row r="80" spans="2:9" ht="12.75">
      <c r="B80" s="24" t="s">
        <v>53</v>
      </c>
      <c r="C80" s="19"/>
      <c r="D80" s="19"/>
      <c r="E80" s="19"/>
      <c r="F80" s="32"/>
      <c r="G80" s="19"/>
      <c r="H80" s="19"/>
      <c r="I80" s="19"/>
    </row>
    <row r="81" spans="2:9" ht="12.75">
      <c r="B81" s="11"/>
      <c r="C81" s="62"/>
      <c r="D81" s="62"/>
      <c r="E81" s="62"/>
      <c r="F81" s="62"/>
      <c r="G81" s="62"/>
      <c r="H81" s="62"/>
      <c r="I81" s="62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2:9" ht="12.75">
      <c r="B83" s="11"/>
      <c r="C83" s="21" t="s">
        <v>20</v>
      </c>
      <c r="D83" s="11"/>
      <c r="E83" s="62"/>
      <c r="F83" s="62"/>
      <c r="G83" s="62"/>
      <c r="H83" s="62"/>
      <c r="I83" s="62"/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2:9" ht="12.75">
      <c r="B86" s="11"/>
      <c r="C86" s="62"/>
      <c r="D86" s="62"/>
      <c r="E86" s="62"/>
      <c r="F86" s="62"/>
      <c r="G86" s="62"/>
      <c r="H86" s="62"/>
      <c r="I86" s="62"/>
    </row>
    <row r="87" spans="2:6" ht="15">
      <c r="B87" s="17"/>
      <c r="C87" s="68"/>
      <c r="D87" s="68"/>
      <c r="E87" s="68"/>
      <c r="F87" s="68"/>
    </row>
    <row r="88" spans="2:6" ht="14.25">
      <c r="B88" s="68"/>
      <c r="C88" s="68"/>
      <c r="D88" s="68"/>
      <c r="E88" s="68"/>
      <c r="F88" s="68"/>
    </row>
    <row r="89" spans="2:6" ht="14.25">
      <c r="B89" s="68"/>
      <c r="C89" s="68"/>
      <c r="D89" s="68"/>
      <c r="E89" s="68"/>
      <c r="F89" s="68"/>
    </row>
    <row r="90" spans="2:6" ht="14.25">
      <c r="B90" s="68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  <row r="94" spans="2:6" ht="14.25">
      <c r="B94" s="68"/>
      <c r="C94" s="68"/>
      <c r="D94" s="68"/>
      <c r="E94" s="68"/>
      <c r="F94" s="68"/>
    </row>
  </sheetData>
  <sheetProtection/>
  <mergeCells count="19">
    <mergeCell ref="B42:B43"/>
    <mergeCell ref="B13:G13"/>
    <mergeCell ref="B18:G18"/>
    <mergeCell ref="E40:E41"/>
    <mergeCell ref="C14:C16"/>
    <mergeCell ref="D14:D16"/>
    <mergeCell ref="E14:E16"/>
    <mergeCell ref="F14:F16"/>
    <mergeCell ref="B40:B41"/>
    <mergeCell ref="G40:G41"/>
    <mergeCell ref="G42:G43"/>
    <mergeCell ref="F40:F41"/>
    <mergeCell ref="G14:G16"/>
    <mergeCell ref="C42:C43"/>
    <mergeCell ref="D42:D43"/>
    <mergeCell ref="F42:F43"/>
    <mergeCell ref="C40:C41"/>
    <mergeCell ref="D40:D41"/>
    <mergeCell ref="E42:E43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37">
      <selection activeCell="D44" sqref="D44"/>
    </sheetView>
  </sheetViews>
  <sheetFormatPr defaultColWidth="9.140625" defaultRowHeight="12.75"/>
  <cols>
    <col min="1" max="1" width="1.1484375" style="33" customWidth="1"/>
    <col min="2" max="2" width="26.140625" style="0" customWidth="1"/>
    <col min="3" max="3" width="14.140625" style="0" customWidth="1"/>
    <col min="4" max="4" width="16.7109375" style="0" customWidth="1"/>
    <col min="5" max="5" width="14.28125" style="0" customWidth="1"/>
    <col min="6" max="6" width="14.7109375" style="0" customWidth="1"/>
    <col min="7" max="7" width="13.8515625" style="0" customWidth="1"/>
    <col min="8" max="8" width="10.140625" style="0" bestFit="1" customWidth="1"/>
  </cols>
  <sheetData>
    <row r="1" spans="2:6" ht="18.75">
      <c r="B1" s="1" t="s">
        <v>0</v>
      </c>
      <c r="C1" s="73"/>
      <c r="D1" s="73"/>
      <c r="E1" s="73"/>
      <c r="F1" s="73"/>
    </row>
    <row r="2" spans="1:6" ht="18.75">
      <c r="A2" s="42"/>
      <c r="B2" s="73"/>
      <c r="D2" s="2" t="s">
        <v>78</v>
      </c>
      <c r="E2" s="73"/>
      <c r="F2" s="73"/>
    </row>
    <row r="3" spans="2:6" ht="18.75">
      <c r="B3" s="73"/>
      <c r="D3" s="3" t="s">
        <v>45</v>
      </c>
      <c r="E3" s="73"/>
      <c r="F3" s="73"/>
    </row>
    <row r="4" spans="2:6" ht="15.75">
      <c r="B4" s="12"/>
      <c r="C4" s="72"/>
      <c r="D4" s="72"/>
      <c r="E4" s="72"/>
      <c r="F4" s="72"/>
    </row>
    <row r="5" spans="2:6" ht="15.75">
      <c r="B5" s="46" t="s">
        <v>54</v>
      </c>
      <c r="C5" s="14"/>
      <c r="D5" s="47">
        <v>-333451.68</v>
      </c>
      <c r="E5" s="14"/>
      <c r="F5" s="14"/>
    </row>
    <row r="6" spans="2:6" ht="15">
      <c r="B6" s="38" t="s">
        <v>55</v>
      </c>
      <c r="C6" s="14"/>
      <c r="D6" s="63"/>
      <c r="E6" s="14"/>
      <c r="F6" s="14"/>
    </row>
    <row r="7" spans="2:6" ht="14.25">
      <c r="B7" s="24" t="s">
        <v>38</v>
      </c>
      <c r="C7" s="16"/>
      <c r="D7" s="64"/>
      <c r="E7" s="16"/>
      <c r="F7" s="16"/>
    </row>
    <row r="8" spans="2:6" ht="14.25">
      <c r="B8" s="24" t="s">
        <v>39</v>
      </c>
      <c r="C8" s="16"/>
      <c r="D8" s="16"/>
      <c r="E8" s="16"/>
      <c r="F8" s="16"/>
    </row>
    <row r="9" spans="2:6" ht="14.25">
      <c r="B9" s="24"/>
      <c r="C9" s="16"/>
      <c r="D9" s="16"/>
      <c r="E9" s="16"/>
      <c r="F9" s="16"/>
    </row>
    <row r="10" spans="2:9" ht="13.5" thickBot="1">
      <c r="B10" s="18" t="s">
        <v>2</v>
      </c>
      <c r="C10" s="62"/>
      <c r="D10" s="62"/>
      <c r="E10" s="62"/>
      <c r="F10" s="62"/>
      <c r="G10" s="62"/>
      <c r="H10" s="62"/>
      <c r="I10" s="62"/>
    </row>
    <row r="11" spans="2:9" ht="103.5" customHeight="1" thickBot="1">
      <c r="B11" s="4" t="s">
        <v>3</v>
      </c>
      <c r="C11" s="4" t="s">
        <v>28</v>
      </c>
      <c r="D11" s="5" t="s">
        <v>21</v>
      </c>
      <c r="E11" s="5" t="s">
        <v>31</v>
      </c>
      <c r="F11" s="4" t="s">
        <v>4</v>
      </c>
      <c r="G11" s="4" t="s">
        <v>29</v>
      </c>
      <c r="H11" s="62"/>
      <c r="I11" s="62"/>
    </row>
    <row r="12" spans="2:9" ht="16.5" customHeight="1" thickBot="1">
      <c r="B12" s="43">
        <v>1</v>
      </c>
      <c r="C12" s="44">
        <v>2</v>
      </c>
      <c r="D12" s="44">
        <v>3</v>
      </c>
      <c r="E12" s="44" t="s">
        <v>42</v>
      </c>
      <c r="F12" s="44">
        <v>5</v>
      </c>
      <c r="G12" s="45" t="s">
        <v>43</v>
      </c>
      <c r="H12" s="62"/>
      <c r="I12" s="62"/>
    </row>
    <row r="13" spans="2:9" ht="13.5" thickBot="1">
      <c r="B13" s="56" t="s">
        <v>24</v>
      </c>
      <c r="C13" s="57"/>
      <c r="D13" s="57"/>
      <c r="E13" s="57"/>
      <c r="F13" s="57"/>
      <c r="G13" s="58"/>
      <c r="H13" s="62"/>
      <c r="I13" s="62"/>
    </row>
    <row r="14" spans="2:9" ht="38.25" customHeight="1">
      <c r="B14" s="9" t="s">
        <v>5</v>
      </c>
      <c r="C14" s="50">
        <f>'[9]Sheet1'!$N$15</f>
        <v>92580</v>
      </c>
      <c r="D14" s="50">
        <f>'[9]Sheet1'!$R$15</f>
        <v>88582</v>
      </c>
      <c r="E14" s="50">
        <f>D14-C14</f>
        <v>-3998</v>
      </c>
      <c r="F14" s="50">
        <f>'[9]Sheet1'!$T$15</f>
        <v>92580</v>
      </c>
      <c r="G14" s="71">
        <f>C14-F14</f>
        <v>0</v>
      </c>
      <c r="H14" s="62"/>
      <c r="I14" s="65"/>
    </row>
    <row r="15" spans="2:9" ht="26.25" customHeight="1">
      <c r="B15" s="9" t="s">
        <v>22</v>
      </c>
      <c r="C15" s="52"/>
      <c r="D15" s="52"/>
      <c r="E15" s="52"/>
      <c r="F15" s="52"/>
      <c r="G15" s="70"/>
      <c r="H15" s="62"/>
      <c r="I15" s="62"/>
    </row>
    <row r="16" spans="2:9" ht="39" customHeight="1" thickBot="1">
      <c r="B16" s="10" t="s">
        <v>6</v>
      </c>
      <c r="C16" s="53"/>
      <c r="D16" s="53"/>
      <c r="E16" s="53"/>
      <c r="F16" s="53"/>
      <c r="G16" s="69"/>
      <c r="H16" s="62"/>
      <c r="I16" s="62"/>
    </row>
    <row r="17" spans="2:9" ht="13.5" thickBot="1">
      <c r="B17" s="6" t="s">
        <v>7</v>
      </c>
      <c r="C17" s="26">
        <f>C14</f>
        <v>92580</v>
      </c>
      <c r="D17" s="26">
        <f>D14</f>
        <v>88582</v>
      </c>
      <c r="E17" s="26">
        <f>E14</f>
        <v>-3998</v>
      </c>
      <c r="F17" s="26">
        <f>F14</f>
        <v>92580</v>
      </c>
      <c r="G17" s="26">
        <f>G14</f>
        <v>0</v>
      </c>
      <c r="H17" s="62"/>
      <c r="I17" s="62"/>
    </row>
    <row r="18" spans="2:9" ht="18.75" customHeight="1" thickBot="1">
      <c r="B18" s="59" t="s">
        <v>8</v>
      </c>
      <c r="C18" s="60"/>
      <c r="D18" s="60"/>
      <c r="E18" s="60"/>
      <c r="F18" s="60"/>
      <c r="G18" s="61"/>
      <c r="H18" s="62"/>
      <c r="I18" s="62"/>
    </row>
    <row r="19" spans="2:9" ht="27" customHeight="1" thickBot="1">
      <c r="B19" s="10" t="s">
        <v>70</v>
      </c>
      <c r="C19" s="25">
        <v>0</v>
      </c>
      <c r="D19" s="25">
        <v>0</v>
      </c>
      <c r="E19" s="25">
        <f>D19-C19</f>
        <v>0</v>
      </c>
      <c r="F19" s="25">
        <f>C19</f>
        <v>0</v>
      </c>
      <c r="G19" s="25">
        <f>C19-F19</f>
        <v>0</v>
      </c>
      <c r="H19" s="62"/>
      <c r="I19" s="62"/>
    </row>
    <row r="20" spans="2:9" ht="27" customHeight="1" thickBot="1">
      <c r="B20" s="10" t="s">
        <v>9</v>
      </c>
      <c r="C20" s="25">
        <f>'[9]Sheet1'!$N$18</f>
        <v>43478</v>
      </c>
      <c r="D20" s="25">
        <f>'[9]Sheet1'!$R$18</f>
        <v>41600</v>
      </c>
      <c r="E20" s="25">
        <f>D20-C20</f>
        <v>-1878</v>
      </c>
      <c r="F20" s="25">
        <f>'[9]Sheet1'!$T$18</f>
        <v>43478</v>
      </c>
      <c r="G20" s="25">
        <f>C20-F20</f>
        <v>0</v>
      </c>
      <c r="H20" s="62"/>
      <c r="I20" s="62"/>
    </row>
    <row r="21" spans="2:9" ht="19.5" customHeight="1" thickBot="1">
      <c r="B21" s="10" t="s">
        <v>10</v>
      </c>
      <c r="C21" s="25">
        <f>'[9]Sheet1'!$N$19</f>
        <v>4013</v>
      </c>
      <c r="D21" s="25">
        <f>'[9]Sheet1'!$R$19</f>
        <v>3840</v>
      </c>
      <c r="E21" s="25">
        <f>D21-C21</f>
        <v>-173</v>
      </c>
      <c r="F21" s="25">
        <f>'[9]Sheet1'!$T$19</f>
        <v>4013</v>
      </c>
      <c r="G21" s="25">
        <f>C21-F21</f>
        <v>0</v>
      </c>
      <c r="H21" s="62"/>
      <c r="I21" s="62"/>
    </row>
    <row r="22" spans="2:9" ht="21" customHeight="1" thickBot="1">
      <c r="B22" s="10" t="s">
        <v>11</v>
      </c>
      <c r="C22" s="25">
        <f>'[9]Sheet1'!$N$20</f>
        <v>8938</v>
      </c>
      <c r="D22" s="25">
        <f>'[9]Sheet1'!$R$20</f>
        <v>8552</v>
      </c>
      <c r="E22" s="25">
        <f>D22-C22</f>
        <v>-386</v>
      </c>
      <c r="F22" s="25">
        <f>'[9]Sheet1'!$T$20</f>
        <v>8938</v>
      </c>
      <c r="G22" s="25">
        <f>C22-F22</f>
        <v>0</v>
      </c>
      <c r="H22" s="62"/>
      <c r="I22" s="62"/>
    </row>
    <row r="23" spans="2:9" ht="25.5" customHeight="1" thickBot="1">
      <c r="B23" s="10" t="s">
        <v>12</v>
      </c>
      <c r="C23" s="25">
        <f>'[9]Sheet1'!$K$22</f>
        <v>14106</v>
      </c>
      <c r="D23" s="25">
        <f>'[9]Sheet1'!$R$22</f>
        <v>13497</v>
      </c>
      <c r="E23" s="25">
        <f>D23-C23</f>
        <v>-609</v>
      </c>
      <c r="F23" s="25">
        <f>'[9]Sheet1'!$T$22</f>
        <v>33881</v>
      </c>
      <c r="G23" s="25">
        <f>C23-F23</f>
        <v>-19775</v>
      </c>
      <c r="H23" s="62"/>
      <c r="I23" s="62"/>
    </row>
    <row r="24" spans="2:9" ht="17.25" customHeight="1" thickBot="1">
      <c r="B24" s="10" t="s">
        <v>60</v>
      </c>
      <c r="C24" s="25">
        <v>0</v>
      </c>
      <c r="D24" s="25">
        <v>0</v>
      </c>
      <c r="E24" s="25">
        <f>D24-C24</f>
        <v>0</v>
      </c>
      <c r="F24" s="25">
        <v>0</v>
      </c>
      <c r="G24" s="25">
        <v>0</v>
      </c>
      <c r="H24" s="62"/>
      <c r="I24" s="62"/>
    </row>
    <row r="25" spans="2:9" ht="17.25" customHeight="1" thickBot="1">
      <c r="B25" s="10" t="s">
        <v>61</v>
      </c>
      <c r="C25" s="25">
        <v>0</v>
      </c>
      <c r="D25" s="25">
        <v>0</v>
      </c>
      <c r="E25" s="25">
        <f>D25-C25</f>
        <v>0</v>
      </c>
      <c r="F25" s="25">
        <f>C25</f>
        <v>0</v>
      </c>
      <c r="G25" s="25">
        <f>C25-F25</f>
        <v>0</v>
      </c>
      <c r="H25" s="62"/>
      <c r="I25" s="62"/>
    </row>
    <row r="26" spans="2:9" ht="25.5" customHeight="1" thickBot="1">
      <c r="B26" s="10" t="s">
        <v>13</v>
      </c>
      <c r="C26" s="25">
        <f>'[9]Sheet1'!$N$26</f>
        <v>79747</v>
      </c>
      <c r="D26" s="25">
        <f>'[9]Sheet1'!$R$26</f>
        <v>76303</v>
      </c>
      <c r="E26" s="25">
        <f>D26-C26</f>
        <v>-3444</v>
      </c>
      <c r="F26" s="25">
        <f>'[9]Sheet1'!$T$26</f>
        <v>79747</v>
      </c>
      <c r="G26" s="25">
        <f>C26-F26</f>
        <v>0</v>
      </c>
      <c r="H26" s="62"/>
      <c r="I26" s="62"/>
    </row>
    <row r="27" spans="2:9" ht="25.5" customHeight="1" thickBot="1">
      <c r="B27" s="10" t="s">
        <v>14</v>
      </c>
      <c r="C27" s="25">
        <f>'[9]Sheet1'!$N$41+'[9]Sheet1'!$N$42</f>
        <v>13343</v>
      </c>
      <c r="D27" s="25">
        <f>'[9]Sheet1'!$R$41+'[9]Sheet1'!$R$42</f>
        <v>12767</v>
      </c>
      <c r="E27" s="25">
        <f>D27-C27</f>
        <v>-576</v>
      </c>
      <c r="F27" s="25">
        <f>'[9]Sheet1'!$T$41+'[9]Sheet1'!$T$42</f>
        <v>13343</v>
      </c>
      <c r="G27" s="25">
        <f>C27-F27</f>
        <v>0</v>
      </c>
      <c r="H27" s="62"/>
      <c r="I27" s="62"/>
    </row>
    <row r="28" spans="2:9" ht="13.5" thickBot="1">
      <c r="B28" s="6" t="s">
        <v>7</v>
      </c>
      <c r="C28" s="26">
        <f>SUM(C19:C27)</f>
        <v>163625</v>
      </c>
      <c r="D28" s="26">
        <f>SUM(D19:D27)</f>
        <v>156559</v>
      </c>
      <c r="E28" s="26">
        <f>SUM(E19:E27)</f>
        <v>-7066</v>
      </c>
      <c r="F28" s="26">
        <f>SUM(F19:F27)</f>
        <v>183400</v>
      </c>
      <c r="G28" s="26">
        <f>SUM(G19:G27)</f>
        <v>-19775</v>
      </c>
      <c r="H28" s="62"/>
      <c r="I28" s="62"/>
    </row>
    <row r="29" spans="2:9" ht="13.5" thickBot="1">
      <c r="B29" s="7" t="s">
        <v>15</v>
      </c>
      <c r="C29" s="26">
        <f>C17+C28</f>
        <v>256205</v>
      </c>
      <c r="D29" s="26">
        <f>D17+D28</f>
        <v>245141</v>
      </c>
      <c r="E29" s="26">
        <f>E17+E28</f>
        <v>-11064</v>
      </c>
      <c r="F29" s="26">
        <f>F17+F28</f>
        <v>275980</v>
      </c>
      <c r="G29" s="26">
        <f>G17+G28</f>
        <v>-19775</v>
      </c>
      <c r="H29" s="62"/>
      <c r="I29" s="62"/>
    </row>
    <row r="30" spans="2:9" ht="12.75">
      <c r="B30" s="11"/>
      <c r="C30" s="62"/>
      <c r="D30" s="62"/>
      <c r="E30" s="62"/>
      <c r="F30" s="62"/>
      <c r="G30" s="62"/>
      <c r="H30" s="62"/>
      <c r="I30" s="62"/>
    </row>
    <row r="31" spans="2:9" ht="13.5" thickBot="1">
      <c r="B31" s="18" t="s">
        <v>47</v>
      </c>
      <c r="C31" s="62"/>
      <c r="D31" s="62"/>
      <c r="E31" s="62"/>
      <c r="F31" s="62"/>
      <c r="G31" s="62"/>
      <c r="H31" s="62"/>
      <c r="I31" s="62"/>
    </row>
    <row r="32" spans="2:9" ht="105" customHeight="1" thickBot="1">
      <c r="B32" s="22" t="s">
        <v>3</v>
      </c>
      <c r="C32" s="22" t="s">
        <v>28</v>
      </c>
      <c r="D32" s="23" t="s">
        <v>23</v>
      </c>
      <c r="E32" s="23" t="s">
        <v>31</v>
      </c>
      <c r="F32" s="22" t="s">
        <v>16</v>
      </c>
      <c r="G32" s="22" t="s">
        <v>29</v>
      </c>
      <c r="H32" s="62"/>
      <c r="I32" s="62"/>
    </row>
    <row r="33" spans="2:9" ht="13.5" customHeight="1" thickBot="1">
      <c r="B33" s="43">
        <v>1</v>
      </c>
      <c r="C33" s="44">
        <v>2</v>
      </c>
      <c r="D33" s="44">
        <v>3</v>
      </c>
      <c r="E33" s="44" t="s">
        <v>42</v>
      </c>
      <c r="F33" s="44">
        <v>5</v>
      </c>
      <c r="G33" s="45" t="s">
        <v>43</v>
      </c>
      <c r="H33" s="62"/>
      <c r="I33" s="62"/>
    </row>
    <row r="34" spans="2:9" ht="38.25" customHeight="1" thickBot="1">
      <c r="B34" s="10" t="s">
        <v>17</v>
      </c>
      <c r="C34" s="28">
        <f>'[9]Sheet1'!$N$12</f>
        <v>238204</v>
      </c>
      <c r="D34" s="28">
        <f>'[9]Sheet1'!$R$12</f>
        <v>227918</v>
      </c>
      <c r="E34" s="28">
        <f>D34-C34</f>
        <v>-10286</v>
      </c>
      <c r="F34" s="28">
        <f>'[9]Sheet1'!$U$12</f>
        <v>386500</v>
      </c>
      <c r="G34" s="28">
        <f>C34-F34</f>
        <v>-148296</v>
      </c>
      <c r="H34" s="65"/>
      <c r="I34" s="62"/>
    </row>
    <row r="35" spans="2:9" ht="13.5" thickBot="1">
      <c r="B35" s="6" t="s">
        <v>18</v>
      </c>
      <c r="C35" s="29">
        <f>C34</f>
        <v>238204</v>
      </c>
      <c r="D35" s="29">
        <f>D34</f>
        <v>227918</v>
      </c>
      <c r="E35" s="29">
        <f>E34</f>
        <v>-10286</v>
      </c>
      <c r="F35" s="29">
        <f>F34</f>
        <v>386500</v>
      </c>
      <c r="G35" s="29">
        <f>G34</f>
        <v>-148296</v>
      </c>
      <c r="H35" s="62"/>
      <c r="I35" s="62"/>
    </row>
    <row r="36" spans="2:9" ht="12.75">
      <c r="B36" s="13"/>
      <c r="C36" s="62"/>
      <c r="D36" s="62"/>
      <c r="E36" s="62"/>
      <c r="F36" s="62"/>
      <c r="G36" s="62"/>
      <c r="H36" s="62"/>
      <c r="I36" s="62"/>
    </row>
    <row r="37" spans="2:9" ht="13.5" thickBot="1">
      <c r="B37" s="18" t="s">
        <v>30</v>
      </c>
      <c r="C37" s="62"/>
      <c r="D37" s="62"/>
      <c r="E37" s="62"/>
      <c r="F37" s="62"/>
      <c r="G37" s="62"/>
      <c r="H37" s="62"/>
      <c r="I37" s="62"/>
    </row>
    <row r="38" spans="2:9" ht="103.5" customHeight="1" thickBot="1">
      <c r="B38" s="22" t="s">
        <v>3</v>
      </c>
      <c r="C38" s="5" t="s">
        <v>25</v>
      </c>
      <c r="D38" s="8" t="s">
        <v>26</v>
      </c>
      <c r="E38" s="23" t="s">
        <v>31</v>
      </c>
      <c r="F38" s="5" t="s">
        <v>27</v>
      </c>
      <c r="G38" s="22" t="s">
        <v>29</v>
      </c>
      <c r="H38" s="62"/>
      <c r="I38" s="62"/>
    </row>
    <row r="39" spans="2:9" ht="13.5" customHeight="1" thickBot="1">
      <c r="B39" s="43">
        <v>1</v>
      </c>
      <c r="C39" s="44">
        <v>2</v>
      </c>
      <c r="D39" s="44">
        <v>3</v>
      </c>
      <c r="E39" s="44" t="s">
        <v>42</v>
      </c>
      <c r="F39" s="44">
        <v>5</v>
      </c>
      <c r="G39" s="45" t="s">
        <v>43</v>
      </c>
      <c r="H39" s="62"/>
      <c r="I39" s="62"/>
    </row>
    <row r="40" spans="2:9" ht="16.5" customHeight="1">
      <c r="B40" s="54" t="s">
        <v>69</v>
      </c>
      <c r="C40" s="50">
        <f>'[9]Sheet1'!$N$33</f>
        <v>250919</v>
      </c>
      <c r="D40" s="50">
        <f>'[9]Sheet1'!$R$33</f>
        <v>240084</v>
      </c>
      <c r="E40" s="50">
        <f>D40-C40</f>
        <v>-10835</v>
      </c>
      <c r="F40" s="50">
        <f>'[9]Sheet1'!$T$33</f>
        <v>318277</v>
      </c>
      <c r="G40" s="50">
        <f>C40-F40</f>
        <v>-67358</v>
      </c>
      <c r="H40" s="62"/>
      <c r="I40" s="62"/>
    </row>
    <row r="41" spans="2:9" ht="24" customHeight="1" thickBot="1">
      <c r="B41" s="55"/>
      <c r="C41" s="51"/>
      <c r="D41" s="51"/>
      <c r="E41" s="51"/>
      <c r="F41" s="51"/>
      <c r="G41" s="51"/>
      <c r="H41" s="62"/>
      <c r="I41" s="62"/>
    </row>
    <row r="42" spans="2:9" ht="17.25" customHeight="1">
      <c r="B42" s="54" t="s">
        <v>44</v>
      </c>
      <c r="C42" s="50">
        <f>918967.94-115528.4</f>
        <v>803439.5399999999</v>
      </c>
      <c r="D42" s="50">
        <v>829805.28</v>
      </c>
      <c r="E42" s="50">
        <f>D42-C42</f>
        <v>26365.740000000107</v>
      </c>
      <c r="F42" s="50">
        <v>839891.82</v>
      </c>
      <c r="G42" s="50">
        <f>C42-F42</f>
        <v>-36452.28000000003</v>
      </c>
      <c r="H42" s="62"/>
      <c r="I42" s="62"/>
    </row>
    <row r="43" spans="2:9" ht="13.5" thickBot="1">
      <c r="B43" s="55"/>
      <c r="C43" s="51"/>
      <c r="D43" s="51"/>
      <c r="E43" s="51"/>
      <c r="F43" s="51"/>
      <c r="G43" s="51"/>
      <c r="H43" s="62"/>
      <c r="I43" s="62"/>
    </row>
    <row r="44" spans="2:9" ht="13.5" thickBot="1">
      <c r="B44" s="7" t="s">
        <v>19</v>
      </c>
      <c r="C44" s="29">
        <f>C40+C42</f>
        <v>1054358.54</v>
      </c>
      <c r="D44" s="29">
        <f>D40+D42</f>
        <v>1069889.28</v>
      </c>
      <c r="E44" s="29">
        <f>E40+E42</f>
        <v>15530.740000000107</v>
      </c>
      <c r="F44" s="29">
        <f>F40+F42</f>
        <v>1158168.8199999998</v>
      </c>
      <c r="G44" s="29">
        <f>G40+G42</f>
        <v>-103810.28000000003</v>
      </c>
      <c r="H44" s="62"/>
      <c r="I44" s="62"/>
    </row>
    <row r="45" spans="2:9" ht="12.75">
      <c r="B45" s="11"/>
      <c r="C45" s="62"/>
      <c r="D45" s="62"/>
      <c r="E45" s="62"/>
      <c r="F45" s="62"/>
      <c r="G45" s="62"/>
      <c r="H45" s="62"/>
      <c r="I45" s="62"/>
    </row>
    <row r="46" spans="2:9" ht="12.75">
      <c r="B46" s="11"/>
      <c r="C46" s="62"/>
      <c r="D46" s="62"/>
      <c r="E46" s="62"/>
      <c r="F46" s="62"/>
      <c r="G46" s="62"/>
      <c r="H46" s="62"/>
      <c r="I46" s="62"/>
    </row>
    <row r="47" spans="2:9" ht="12.75">
      <c r="B47" s="20" t="s">
        <v>62</v>
      </c>
      <c r="C47" s="62"/>
      <c r="D47" s="62"/>
      <c r="E47" s="62"/>
      <c r="F47" s="62"/>
      <c r="G47" s="31">
        <f>F49+F50</f>
        <v>-5819.259999999893</v>
      </c>
      <c r="H47" s="62"/>
      <c r="I47" s="62"/>
    </row>
    <row r="48" spans="2:9" ht="12.75">
      <c r="B48" s="30" t="s">
        <v>32</v>
      </c>
      <c r="C48" s="65"/>
      <c r="D48" s="62"/>
      <c r="E48" s="62"/>
      <c r="F48" s="62"/>
      <c r="G48" s="62"/>
      <c r="H48" s="62"/>
      <c r="I48" s="62"/>
    </row>
    <row r="49" spans="2:9" ht="12.75">
      <c r="B49" s="38" t="s">
        <v>67</v>
      </c>
      <c r="C49" s="62"/>
      <c r="D49" s="62"/>
      <c r="E49" s="62"/>
      <c r="F49" s="32">
        <f>(E29+E35)</f>
        <v>-21350</v>
      </c>
      <c r="G49" s="62"/>
      <c r="H49" s="62"/>
      <c r="I49" s="62"/>
    </row>
    <row r="50" spans="2:9" ht="12.75">
      <c r="B50" s="38" t="s">
        <v>64</v>
      </c>
      <c r="C50" s="62"/>
      <c r="D50" s="62"/>
      <c r="E50" s="62"/>
      <c r="F50" s="32">
        <f>(E44)</f>
        <v>15530.740000000107</v>
      </c>
      <c r="G50" s="62"/>
      <c r="H50" s="62"/>
      <c r="I50" s="62"/>
    </row>
    <row r="51" spans="2:9" ht="12.75">
      <c r="B51" s="38"/>
      <c r="C51" s="62"/>
      <c r="D51" s="62"/>
      <c r="E51" s="62"/>
      <c r="F51" s="32"/>
      <c r="G51" s="62"/>
      <c r="H51" s="62"/>
      <c r="I51" s="62"/>
    </row>
    <row r="52" spans="2:9" s="33" customFormat="1" ht="12.75">
      <c r="B52" s="34" t="s">
        <v>35</v>
      </c>
      <c r="C52" s="66"/>
      <c r="D52" s="66"/>
      <c r="E52" s="67"/>
      <c r="F52" s="37"/>
      <c r="G52" s="31">
        <f>F54+F55</f>
        <v>-271881.28</v>
      </c>
      <c r="H52" s="66"/>
      <c r="I52" s="66"/>
    </row>
    <row r="53" spans="2:9" s="33" customFormat="1" ht="12.75">
      <c r="B53" s="30" t="s">
        <v>32</v>
      </c>
      <c r="C53" s="66"/>
      <c r="D53" s="66"/>
      <c r="E53" s="67"/>
      <c r="F53" s="37"/>
      <c r="G53" s="41"/>
      <c r="H53" s="66"/>
      <c r="I53" s="66"/>
    </row>
    <row r="54" spans="2:9" s="33" customFormat="1" ht="12.75">
      <c r="B54" s="38" t="s">
        <v>36</v>
      </c>
      <c r="C54" s="66"/>
      <c r="D54" s="66"/>
      <c r="E54" s="67"/>
      <c r="F54" s="32">
        <f>IF((G29+G35)&lt;=0,G29+G35,0)</f>
        <v>-168071</v>
      </c>
      <c r="G54" s="41"/>
      <c r="H54" s="66"/>
      <c r="I54" s="66"/>
    </row>
    <row r="55" spans="2:9" s="33" customFormat="1" ht="12.75">
      <c r="B55" s="38" t="s">
        <v>37</v>
      </c>
      <c r="C55" s="66"/>
      <c r="D55" s="66"/>
      <c r="E55" s="67"/>
      <c r="F55" s="32">
        <f>IF(G44&lt;=0,G44,0)</f>
        <v>-103810.28000000003</v>
      </c>
      <c r="G55" s="41"/>
      <c r="H55" s="66"/>
      <c r="I55" s="66"/>
    </row>
    <row r="56" spans="2:9" s="33" customFormat="1" ht="12.75">
      <c r="B56" s="38"/>
      <c r="C56" s="66"/>
      <c r="D56" s="66"/>
      <c r="E56" s="67"/>
      <c r="F56" s="37"/>
      <c r="G56" s="41"/>
      <c r="H56" s="66"/>
      <c r="I56" s="66"/>
    </row>
    <row r="57" spans="2:9" s="33" customFormat="1" ht="12.75">
      <c r="B57" s="34" t="s">
        <v>65</v>
      </c>
      <c r="C57" s="66"/>
      <c r="D57" s="66"/>
      <c r="E57" s="67"/>
      <c r="F57" s="37"/>
      <c r="G57" s="31">
        <f>F59+F60</f>
        <v>0</v>
      </c>
      <c r="H57" s="66"/>
      <c r="I57" s="66"/>
    </row>
    <row r="58" spans="2:9" ht="12.75">
      <c r="B58" s="30" t="s">
        <v>32</v>
      </c>
      <c r="C58" s="62"/>
      <c r="D58" s="62"/>
      <c r="E58" s="62"/>
      <c r="F58" s="11"/>
      <c r="G58" s="41"/>
      <c r="H58" s="62"/>
      <c r="I58" s="62"/>
    </row>
    <row r="59" spans="2:9" ht="12.75">
      <c r="B59" s="38" t="s">
        <v>36</v>
      </c>
      <c r="C59" s="62"/>
      <c r="D59" s="62"/>
      <c r="E59" s="62"/>
      <c r="F59" s="32">
        <f>IF((G29+G35)&gt;0,G29+G35,0)</f>
        <v>0</v>
      </c>
      <c r="G59" s="62"/>
      <c r="H59" s="62"/>
      <c r="I59" s="62"/>
    </row>
    <row r="60" spans="2:9" ht="12.75">
      <c r="B60" s="38" t="s">
        <v>37</v>
      </c>
      <c r="C60" s="62"/>
      <c r="D60" s="62"/>
      <c r="E60" s="62"/>
      <c r="F60" s="32">
        <f>IF(G44&gt;0,G44,0)</f>
        <v>0</v>
      </c>
      <c r="G60" s="62"/>
      <c r="H60" s="62"/>
      <c r="I60" s="62"/>
    </row>
    <row r="61" spans="2:9" ht="12.75">
      <c r="B61" s="38"/>
      <c r="C61" s="62"/>
      <c r="D61" s="62"/>
      <c r="E61" s="62"/>
      <c r="F61" s="32"/>
      <c r="G61" s="62"/>
      <c r="H61" s="62"/>
      <c r="I61" s="62"/>
    </row>
    <row r="62" spans="2:9" ht="12.75">
      <c r="B62" s="49" t="s">
        <v>57</v>
      </c>
      <c r="C62" s="19"/>
      <c r="D62" s="19"/>
      <c r="E62" s="19"/>
      <c r="F62" s="11"/>
      <c r="G62" s="19"/>
      <c r="H62" s="19"/>
      <c r="I62" s="19"/>
    </row>
    <row r="63" spans="2:9" ht="12.75">
      <c r="B63" s="11" t="s">
        <v>58</v>
      </c>
      <c r="C63" s="19"/>
      <c r="D63" s="19"/>
      <c r="E63" s="48"/>
      <c r="F63" s="37"/>
      <c r="G63" s="31">
        <f>1220.87+400+700</f>
        <v>2320.87</v>
      </c>
      <c r="H63" s="19"/>
      <c r="I63" s="19"/>
    </row>
    <row r="64" spans="2:9" ht="12.75">
      <c r="B64" s="18"/>
      <c r="C64" s="19"/>
      <c r="D64" s="19"/>
      <c r="E64" s="19"/>
      <c r="F64" s="19"/>
      <c r="G64" s="19"/>
      <c r="H64" s="19"/>
      <c r="I64" s="19"/>
    </row>
    <row r="65" spans="2:9" ht="12.75">
      <c r="B65" s="38"/>
      <c r="C65" s="19"/>
      <c r="D65" s="19"/>
      <c r="E65" s="19"/>
      <c r="F65" s="32"/>
      <c r="G65" s="19"/>
      <c r="H65" s="19"/>
      <c r="I65" s="19"/>
    </row>
    <row r="66" spans="2:9" ht="15.75">
      <c r="B66" s="39" t="s">
        <v>49</v>
      </c>
      <c r="C66" s="19"/>
      <c r="D66" s="19"/>
      <c r="E66" s="19"/>
      <c r="F66" s="40">
        <f>G52+G57+G63</f>
        <v>-269560.41000000003</v>
      </c>
      <c r="G66" s="40" t="s">
        <v>40</v>
      </c>
      <c r="H66" s="19"/>
      <c r="I66" s="19"/>
    </row>
    <row r="67" spans="2:9" ht="12.75">
      <c r="B67" s="24" t="s">
        <v>38</v>
      </c>
      <c r="C67" s="19"/>
      <c r="D67" s="19"/>
      <c r="E67" s="19"/>
      <c r="F67" s="32"/>
      <c r="G67" s="19"/>
      <c r="H67" s="19"/>
      <c r="I67" s="19"/>
    </row>
    <row r="68" spans="2:9" ht="12.75">
      <c r="B68" s="24" t="s">
        <v>39</v>
      </c>
      <c r="C68" s="19"/>
      <c r="D68" s="19"/>
      <c r="E68" s="19"/>
      <c r="F68" s="32"/>
      <c r="G68" s="19"/>
      <c r="H68" s="19"/>
      <c r="I68" s="19"/>
    </row>
    <row r="69" spans="2:9" ht="12.75">
      <c r="B69" s="38"/>
      <c r="C69" s="19"/>
      <c r="D69" s="19"/>
      <c r="E69" s="19"/>
      <c r="F69" s="32"/>
      <c r="G69" s="19"/>
      <c r="H69" s="19"/>
      <c r="I69" s="19"/>
    </row>
    <row r="70" spans="2:9" ht="15.75">
      <c r="B70" s="39" t="s">
        <v>50</v>
      </c>
      <c r="C70" s="19"/>
      <c r="D70" s="19"/>
      <c r="E70" s="19"/>
      <c r="F70" s="40">
        <f>G47</f>
        <v>-5819.259999999893</v>
      </c>
      <c r="G70" s="40" t="s">
        <v>40</v>
      </c>
      <c r="H70" s="19"/>
      <c r="I70" s="19"/>
    </row>
    <row r="71" spans="2:9" ht="12.75">
      <c r="B71" s="24" t="s">
        <v>52</v>
      </c>
      <c r="C71" s="19"/>
      <c r="D71" s="19"/>
      <c r="E71" s="19"/>
      <c r="F71" s="32"/>
      <c r="G71" s="19"/>
      <c r="H71" s="19"/>
      <c r="I71" s="19"/>
    </row>
    <row r="72" spans="2:9" ht="12.75">
      <c r="B72" s="24" t="s">
        <v>53</v>
      </c>
      <c r="C72" s="19"/>
      <c r="D72" s="19"/>
      <c r="E72" s="19"/>
      <c r="F72" s="32"/>
      <c r="G72" s="19"/>
      <c r="H72" s="19"/>
      <c r="I72" s="19"/>
    </row>
    <row r="73" spans="2:9" ht="12.75">
      <c r="B73" s="13"/>
      <c r="C73" s="19"/>
      <c r="D73" s="19"/>
      <c r="E73" s="19"/>
      <c r="F73" s="19"/>
      <c r="G73" s="19"/>
      <c r="H73" s="19"/>
      <c r="I73" s="19"/>
    </row>
    <row r="74" spans="2:9" ht="15.75">
      <c r="B74" s="39" t="s">
        <v>56</v>
      </c>
      <c r="C74" s="19"/>
      <c r="D74" s="19"/>
      <c r="E74" s="19"/>
      <c r="F74" s="40">
        <f>D5+F66</f>
        <v>-603012.0900000001</v>
      </c>
      <c r="G74" s="40" t="s">
        <v>40</v>
      </c>
      <c r="H74" s="19"/>
      <c r="I74" s="19"/>
    </row>
    <row r="75" spans="2:9" ht="12.75">
      <c r="B75" s="24" t="s">
        <v>38</v>
      </c>
      <c r="C75" s="19"/>
      <c r="D75" s="19"/>
      <c r="E75" s="19"/>
      <c r="F75" s="32"/>
      <c r="G75" s="19"/>
      <c r="H75" s="19"/>
      <c r="I75" s="19"/>
    </row>
    <row r="76" spans="2:9" ht="12.75">
      <c r="B76" s="24" t="s">
        <v>39</v>
      </c>
      <c r="C76" s="19"/>
      <c r="D76" s="19"/>
      <c r="E76" s="19"/>
      <c r="F76" s="32"/>
      <c r="G76" s="19"/>
      <c r="H76" s="19"/>
      <c r="I76" s="19"/>
    </row>
    <row r="77" spans="2:9" ht="12.75">
      <c r="B77" s="38"/>
      <c r="C77" s="19"/>
      <c r="D77" s="19"/>
      <c r="E77" s="19"/>
      <c r="F77" s="32"/>
      <c r="G77" s="19"/>
      <c r="H77" s="19"/>
      <c r="I77" s="19"/>
    </row>
    <row r="78" spans="2:9" ht="15.75">
      <c r="B78" s="39" t="s">
        <v>51</v>
      </c>
      <c r="C78" s="19"/>
      <c r="D78" s="19"/>
      <c r="E78" s="19"/>
      <c r="F78" s="40">
        <f>-94171.9-193776.5</f>
        <v>-287948.4</v>
      </c>
      <c r="G78" s="40" t="s">
        <v>40</v>
      </c>
      <c r="H78" s="19"/>
      <c r="I78" s="19"/>
    </row>
    <row r="79" spans="2:9" ht="12.75">
      <c r="B79" s="24" t="s">
        <v>52</v>
      </c>
      <c r="C79" s="19"/>
      <c r="D79" s="19"/>
      <c r="E79" s="19"/>
      <c r="F79" s="32"/>
      <c r="G79" s="19"/>
      <c r="H79" s="19"/>
      <c r="I79" s="19"/>
    </row>
    <row r="80" spans="2:9" ht="12.75">
      <c r="B80" s="24" t="s">
        <v>53</v>
      </c>
      <c r="C80" s="19"/>
      <c r="D80" s="19"/>
      <c r="E80" s="19"/>
      <c r="F80" s="32"/>
      <c r="G80" s="19"/>
      <c r="H80" s="19"/>
      <c r="I80" s="19"/>
    </row>
    <row r="81" spans="2:9" ht="12.75">
      <c r="B81" s="11"/>
      <c r="C81" s="62"/>
      <c r="D81" s="62"/>
      <c r="E81" s="62"/>
      <c r="F81" s="62"/>
      <c r="G81" s="62"/>
      <c r="H81" s="62"/>
      <c r="I81" s="62"/>
    </row>
    <row r="82" spans="2:9" ht="12.75">
      <c r="B82" s="11"/>
      <c r="C82" s="62"/>
      <c r="D82" s="62"/>
      <c r="E82" s="62"/>
      <c r="F82" s="62"/>
      <c r="G82" s="62"/>
      <c r="H82" s="62"/>
      <c r="I82" s="62"/>
    </row>
    <row r="83" spans="1:3" s="11" customFormat="1" ht="12.75">
      <c r="A83" s="37"/>
      <c r="C83" s="21" t="s">
        <v>20</v>
      </c>
    </row>
    <row r="84" spans="2:9" ht="12.75">
      <c r="B84" s="11"/>
      <c r="C84" s="62"/>
      <c r="D84" s="62"/>
      <c r="E84" s="62"/>
      <c r="F84" s="62"/>
      <c r="G84" s="62"/>
      <c r="H84" s="62"/>
      <c r="I84" s="62"/>
    </row>
    <row r="85" spans="2:9" ht="12.75">
      <c r="B85" s="11"/>
      <c r="C85" s="62"/>
      <c r="D85" s="62"/>
      <c r="E85" s="62"/>
      <c r="F85" s="62"/>
      <c r="G85" s="62"/>
      <c r="H85" s="62"/>
      <c r="I85" s="62"/>
    </row>
    <row r="86" spans="2:9" ht="12.75">
      <c r="B86" s="11"/>
      <c r="C86" s="62"/>
      <c r="D86" s="62"/>
      <c r="E86" s="62"/>
      <c r="F86" s="62"/>
      <c r="G86" s="62"/>
      <c r="H86" s="62"/>
      <c r="I86" s="62"/>
    </row>
    <row r="87" spans="2:9" ht="12.75">
      <c r="B87" s="11"/>
      <c r="C87" s="62"/>
      <c r="D87" s="62"/>
      <c r="E87" s="62"/>
      <c r="F87" s="62"/>
      <c r="G87" s="62"/>
      <c r="H87" s="62"/>
      <c r="I87" s="62"/>
    </row>
    <row r="88" spans="2:9" ht="12.75">
      <c r="B88" s="11"/>
      <c r="C88" s="62"/>
      <c r="D88" s="62"/>
      <c r="E88" s="62"/>
      <c r="F88" s="62"/>
      <c r="G88" s="62"/>
      <c r="H88" s="62"/>
      <c r="I88" s="62"/>
    </row>
    <row r="89" spans="2:9" ht="12.75">
      <c r="B89" s="11"/>
      <c r="C89" s="62"/>
      <c r="D89" s="62"/>
      <c r="E89" s="62"/>
      <c r="F89" s="62"/>
      <c r="G89" s="62"/>
      <c r="H89" s="62"/>
      <c r="I89" s="62"/>
    </row>
    <row r="90" spans="2:6" ht="15">
      <c r="B90" s="17"/>
      <c r="C90" s="68"/>
      <c r="D90" s="68"/>
      <c r="E90" s="68"/>
      <c r="F90" s="68"/>
    </row>
    <row r="91" spans="2:6" ht="14.25">
      <c r="B91" s="68"/>
      <c r="C91" s="68"/>
      <c r="D91" s="68"/>
      <c r="E91" s="68"/>
      <c r="F91" s="68"/>
    </row>
    <row r="92" spans="2:6" ht="14.25">
      <c r="B92" s="68"/>
      <c r="C92" s="68"/>
      <c r="D92" s="68"/>
      <c r="E92" s="68"/>
      <c r="F92" s="68"/>
    </row>
    <row r="93" spans="2:6" ht="14.25">
      <c r="B93" s="68"/>
      <c r="C93" s="68"/>
      <c r="D93" s="68"/>
      <c r="E93" s="68"/>
      <c r="F93" s="68"/>
    </row>
    <row r="94" spans="2:6" ht="14.25">
      <c r="B94" s="68"/>
      <c r="C94" s="68"/>
      <c r="D94" s="68"/>
      <c r="E94" s="68"/>
      <c r="F94" s="68"/>
    </row>
    <row r="95" spans="2:6" ht="14.25">
      <c r="B95" s="68"/>
      <c r="C95" s="68"/>
      <c r="D95" s="68"/>
      <c r="E95" s="68"/>
      <c r="F95" s="68"/>
    </row>
    <row r="96" spans="2:6" ht="14.25">
      <c r="B96" s="68"/>
      <c r="C96" s="68"/>
      <c r="D96" s="68"/>
      <c r="E96" s="68"/>
      <c r="F96" s="68"/>
    </row>
    <row r="97" spans="2:6" ht="14.25">
      <c r="B97" s="68"/>
      <c r="C97" s="68"/>
      <c r="D97" s="68"/>
      <c r="E97" s="68"/>
      <c r="F97" s="68"/>
    </row>
  </sheetData>
  <sheetProtection/>
  <mergeCells count="19">
    <mergeCell ref="B42:B43"/>
    <mergeCell ref="B13:G13"/>
    <mergeCell ref="B18:G18"/>
    <mergeCell ref="E40:E41"/>
    <mergeCell ref="C14:C16"/>
    <mergeCell ref="D14:D16"/>
    <mergeCell ref="E14:E16"/>
    <mergeCell ref="F14:F16"/>
    <mergeCell ref="B40:B41"/>
    <mergeCell ref="G40:G41"/>
    <mergeCell ref="G42:G43"/>
    <mergeCell ref="F40:F41"/>
    <mergeCell ref="G14:G16"/>
    <mergeCell ref="C42:C43"/>
    <mergeCell ref="D42:D43"/>
    <mergeCell ref="F42:F43"/>
    <mergeCell ref="C40:C41"/>
    <mergeCell ref="D40:D41"/>
    <mergeCell ref="E42:E43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2013-03-27T08:05:31Z</cp:lastPrinted>
  <dcterms:created xsi:type="dcterms:W3CDTF">1996-10-08T23:32:33Z</dcterms:created>
  <dcterms:modified xsi:type="dcterms:W3CDTF">2013-04-09T09:28:33Z</dcterms:modified>
  <cp:category/>
  <cp:version/>
  <cp:contentType/>
  <cp:contentStatus/>
</cp:coreProperties>
</file>